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8"/>
  <workbookPr/>
  <mc:AlternateContent xmlns:mc="http://schemas.openxmlformats.org/markup-compatibility/2006">
    <mc:Choice Requires="x15">
      <x15ac:absPath xmlns:x15ac="http://schemas.microsoft.com/office/spreadsheetml/2010/11/ac" url="https://dirfo.sharepoint.com/sites/Dataforvaltning/Shared Documents/Datavisualisering/Effekt- og klimakalkulatorer/Oversatte kalkulatorer Dansk Svensk Finsk/"/>
    </mc:Choice>
  </mc:AlternateContent>
  <xr:revisionPtr revIDLastSave="286" documentId="13_ncr:1_{D2C4A7A3-9B83-4044-B4D3-2EA98AB4CF35}" xr6:coauthVersionLast="47" xr6:coauthVersionMax="47" xr10:uidLastSave="{894DCDCC-DBA3-4504-8ECE-9D7D54D01F85}"/>
  <bookViews>
    <workbookView xWindow="-120" yWindow="-18120" windowWidth="29040" windowHeight="17520" xr2:uid="{00000000-000D-0000-FFFF-FFFF00000000}"/>
  </bookViews>
  <sheets>
    <sheet name="Johdanto" sheetId="25" r:id="rId1"/>
    <sheet name="Ilmastojalanjälkesi" sheetId="26" r:id="rId2"/>
    <sheet name="Ilmastotoimet" sheetId="27" r:id="rId3"/>
    <sheet name="Hankinta ja vaikutus" sheetId="28" r:id="rId4"/>
    <sheet name="Tietojen perusta" sheetId="29" r:id="rId5"/>
    <sheet name="Tietokanta (piilotetaan käytön " sheetId="4" state="hidden" r:id="rId6"/>
  </sheets>
  <externalReferences>
    <externalReference r:id="rId7"/>
  </externalReferences>
  <definedNames>
    <definedName name="Alaluokka">'Tietokanta (piilotetaan käytön '!$C$2:$C$34</definedName>
    <definedName name="Kannettava_tietokone">'Tietokanta (piilotetaan käytön '!$C$9:$C$14</definedName>
    <definedName name="Kokoushuoneen_näyttö">'Tietokanta (piilotetaan käytön '!$C$27:$C$34</definedName>
    <definedName name="Matkapuhelin">'Tietokanta (piilotetaan käytön '!$C$18:$C$22</definedName>
    <definedName name="Pääluokka">'Tietokanta (piilotetaan käytön '!$B$2:$B$36</definedName>
    <definedName name="Pöytätietokone">'Tietokanta (piilotetaan käytön '!$C$15:$C$17</definedName>
    <definedName name="Reititin">'Tietokanta (piilotetaan käytön '!$C$35</definedName>
    <definedName name="Tabletti">'Tietokanta (piilotetaan käytön '!$C$23:$C$26</definedName>
    <definedName name="Tietojen_perusta">'Tietokanta (piilotetaan käytön '!$A$2:$F$36</definedName>
    <definedName name="Tietokoneen_näyttö">'Tietokanta (piilotetaan käytön '!$C$2:$C$8</definedName>
    <definedName name="Toimenpiteet">'Tietokanta (piilotetaan käytön '!$A$41:$D$45</definedName>
    <definedName name="Tulostin">'Tietokanta (piilotetaan käytön '!$C$36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8" i="26" l="1"/>
  <c r="C111" i="26"/>
  <c r="E197" i="28"/>
  <c r="C197" i="28"/>
  <c r="B100" i="26"/>
  <c r="B36" i="26"/>
  <c r="B35" i="26"/>
  <c r="B34" i="26"/>
  <c r="B33" i="26"/>
  <c r="B32" i="26"/>
  <c r="B31" i="26"/>
  <c r="B30" i="26"/>
  <c r="B29" i="26"/>
  <c r="M23" i="27"/>
  <c r="M22" i="27"/>
  <c r="M21" i="27"/>
  <c r="M20" i="27"/>
  <c r="M19" i="27"/>
  <c r="Y37" i="28"/>
  <c r="B59" i="29"/>
  <c r="B58" i="29"/>
  <c r="B38" i="29"/>
  <c r="B32" i="29"/>
  <c r="B25" i="29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D34" i="4"/>
  <c r="D33" i="4"/>
  <c r="D32" i="4"/>
  <c r="D31" i="4"/>
  <c r="D30" i="4"/>
  <c r="D29" i="4"/>
  <c r="D28" i="4"/>
  <c r="F26" i="4"/>
  <c r="E26" i="4"/>
  <c r="D26" i="4"/>
  <c r="F25" i="4"/>
  <c r="E25" i="4"/>
  <c r="D25" i="4"/>
  <c r="F24" i="4"/>
  <c r="E24" i="4"/>
  <c r="D24" i="4"/>
  <c r="F22" i="4"/>
  <c r="E22" i="4"/>
  <c r="D22" i="4"/>
  <c r="F21" i="4"/>
  <c r="E21" i="4"/>
  <c r="D21" i="4"/>
  <c r="F20" i="4"/>
  <c r="E20" i="4"/>
  <c r="D20" i="4"/>
  <c r="F19" i="4"/>
  <c r="E19" i="4"/>
  <c r="D19" i="4"/>
  <c r="F17" i="4"/>
  <c r="E17" i="4"/>
  <c r="D17" i="4"/>
  <c r="F16" i="4"/>
  <c r="E16" i="4"/>
  <c r="D16" i="4"/>
  <c r="D14" i="4"/>
  <c r="D13" i="4"/>
  <c r="D12" i="4"/>
  <c r="D11" i="4"/>
  <c r="D10" i="4"/>
  <c r="D8" i="4"/>
  <c r="D7" i="4"/>
  <c r="D6" i="4"/>
  <c r="D5" i="4"/>
  <c r="D4" i="4"/>
  <c r="D3" i="4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AA36" i="28"/>
  <c r="AA37" i="28" s="1"/>
  <c r="X36" i="28"/>
  <c r="V36" i="28"/>
  <c r="T36" i="28"/>
  <c r="R36" i="28"/>
  <c r="B98" i="26"/>
  <c r="B95" i="26"/>
  <c r="B94" i="26"/>
  <c r="I93" i="26"/>
  <c r="B93" i="26"/>
  <c r="K92" i="26"/>
  <c r="J45" i="28" l="1"/>
  <c r="K45" i="28" s="1"/>
  <c r="Z37" i="28"/>
  <c r="J39" i="28"/>
  <c r="K39" i="28" s="1"/>
  <c r="J40" i="28"/>
  <c r="K40" i="28" s="1"/>
  <c r="J50" i="28"/>
  <c r="K50" i="28" s="1"/>
  <c r="J44" i="28"/>
  <c r="K44" i="28" s="1"/>
  <c r="C98" i="26"/>
  <c r="D98" i="26"/>
  <c r="N25" i="27"/>
  <c r="J41" i="28"/>
  <c r="K41" i="28" s="1"/>
  <c r="J46" i="28"/>
  <c r="K46" i="28" s="1"/>
  <c r="J42" i="28"/>
  <c r="K42" i="28" s="1"/>
  <c r="J48" i="28"/>
  <c r="K48" i="28" s="1"/>
  <c r="E98" i="26"/>
  <c r="F98" i="26" s="1"/>
  <c r="J43" i="28"/>
  <c r="K43" i="28" s="1"/>
  <c r="J47" i="28"/>
  <c r="K47" i="28" s="1"/>
  <c r="J38" i="28"/>
  <c r="K38" i="28" s="1"/>
  <c r="N26" i="27"/>
  <c r="E100" i="26"/>
  <c r="F100" i="26" s="1"/>
  <c r="C93" i="26"/>
  <c r="D93" i="26"/>
  <c r="E93" i="26"/>
  <c r="D94" i="26"/>
  <c r="C94" i="26"/>
  <c r="E94" i="26"/>
  <c r="F94" i="26" s="1"/>
  <c r="D96" i="26"/>
  <c r="J49" i="28"/>
  <c r="K49" i="28" s="1"/>
  <c r="C95" i="26"/>
  <c r="E97" i="26"/>
  <c r="J51" i="28"/>
  <c r="K51" i="28" s="1"/>
  <c r="D95" i="26"/>
  <c r="E95" i="26"/>
  <c r="F95" i="26" s="1"/>
  <c r="E99" i="26"/>
  <c r="F99" i="26" s="1"/>
  <c r="C97" i="26"/>
  <c r="G97" i="26" s="1"/>
  <c r="D100" i="26"/>
  <c r="C100" i="26"/>
  <c r="B99" i="26"/>
  <c r="C99" i="26"/>
  <c r="D99" i="26"/>
  <c r="B97" i="26"/>
  <c r="D97" i="26"/>
  <c r="E96" i="26"/>
  <c r="B96" i="26"/>
  <c r="C96" i="26"/>
  <c r="W48" i="28" l="1"/>
  <c r="G94" i="26"/>
  <c r="G93" i="26"/>
  <c r="G100" i="26"/>
  <c r="G98" i="26"/>
  <c r="G99" i="26"/>
  <c r="E101" i="26"/>
  <c r="C105" i="26" s="1"/>
  <c r="H42" i="28"/>
  <c r="M42" i="28" s="1"/>
  <c r="T42" i="28" s="1"/>
  <c r="L39" i="28"/>
  <c r="R39" i="28" s="1"/>
  <c r="L46" i="28"/>
  <c r="R46" i="28" s="1"/>
  <c r="C157" i="28"/>
  <c r="S43" i="28"/>
  <c r="W43" i="28" s="1"/>
  <c r="S45" i="28"/>
  <c r="G155" i="28" s="1"/>
  <c r="L45" i="28"/>
  <c r="R45" i="28" s="1"/>
  <c r="C155" i="28"/>
  <c r="H44" i="28"/>
  <c r="M44" i="28" s="1"/>
  <c r="T44" i="28" s="1"/>
  <c r="L44" i="28"/>
  <c r="R44" i="28" s="1"/>
  <c r="C154" i="28"/>
  <c r="P44" i="28"/>
  <c r="B154" i="28" s="1"/>
  <c r="C160" i="28"/>
  <c r="P50" i="28"/>
  <c r="B160" i="28" s="1"/>
  <c r="H50" i="28"/>
  <c r="M50" i="28" s="1"/>
  <c r="L50" i="28"/>
  <c r="R50" i="28" s="1"/>
  <c r="S50" i="28"/>
  <c r="G160" i="28" s="1"/>
  <c r="Q50" i="28"/>
  <c r="E160" i="28" s="1"/>
  <c r="H47" i="28"/>
  <c r="M47" i="28" s="1"/>
  <c r="S44" i="28"/>
  <c r="G154" i="28" s="1"/>
  <c r="H45" i="28"/>
  <c r="M45" i="28" s="1"/>
  <c r="P45" i="28"/>
  <c r="B155" i="28" s="1"/>
  <c r="Q44" i="28"/>
  <c r="E154" i="28" s="1"/>
  <c r="Q45" i="28"/>
  <c r="S40" i="28"/>
  <c r="H40" i="28"/>
  <c r="M40" i="28" s="1"/>
  <c r="L40" i="28"/>
  <c r="R40" i="28" s="1"/>
  <c r="Q40" i="28"/>
  <c r="U40" i="28" s="1"/>
  <c r="P40" i="28"/>
  <c r="B150" i="28" s="1"/>
  <c r="C150" i="28"/>
  <c r="Q39" i="28"/>
  <c r="U39" i="28" s="1"/>
  <c r="H39" i="28"/>
  <c r="M39" i="28" s="1"/>
  <c r="S39" i="28"/>
  <c r="P39" i="28"/>
  <c r="B149" i="28" s="1"/>
  <c r="C149" i="28"/>
  <c r="P46" i="28"/>
  <c r="Y46" i="28" s="1"/>
  <c r="S47" i="28"/>
  <c r="W47" i="28" s="1"/>
  <c r="Q46" i="28"/>
  <c r="E156" i="28" s="1"/>
  <c r="C148" i="28"/>
  <c r="Q38" i="28"/>
  <c r="E148" i="28" s="1"/>
  <c r="L38" i="28"/>
  <c r="R38" i="28" s="1"/>
  <c r="P38" i="28"/>
  <c r="B148" i="28" s="1"/>
  <c r="L47" i="28"/>
  <c r="R47" i="28" s="1"/>
  <c r="Q47" i="28"/>
  <c r="U47" i="28" s="1"/>
  <c r="H41" i="28"/>
  <c r="M41" i="28" s="1"/>
  <c r="P42" i="28"/>
  <c r="B152" i="28" s="1"/>
  <c r="P47" i="28"/>
  <c r="B157" i="28" s="1"/>
  <c r="C151" i="28"/>
  <c r="C152" i="28"/>
  <c r="S48" i="28"/>
  <c r="Q41" i="28"/>
  <c r="U41" i="28" s="1"/>
  <c r="C153" i="28"/>
  <c r="H48" i="28"/>
  <c r="M48" i="28" s="1"/>
  <c r="H43" i="28"/>
  <c r="M43" i="28" s="1"/>
  <c r="S46" i="28"/>
  <c r="G156" i="28" s="1"/>
  <c r="C158" i="28"/>
  <c r="L43" i="28"/>
  <c r="R43" i="28" s="1"/>
  <c r="Q42" i="28"/>
  <c r="U42" i="28" s="1"/>
  <c r="H46" i="28"/>
  <c r="M46" i="28" s="1"/>
  <c r="L48" i="28"/>
  <c r="R48" i="28" s="1"/>
  <c r="P43" i="28"/>
  <c r="B153" i="28" s="1"/>
  <c r="S41" i="28"/>
  <c r="W41" i="28" s="1"/>
  <c r="Q43" i="28"/>
  <c r="E153" i="28" s="1"/>
  <c r="P48" i="28"/>
  <c r="B158" i="28" s="1"/>
  <c r="S42" i="28"/>
  <c r="W42" i="28" s="1"/>
  <c r="L41" i="28"/>
  <c r="R41" i="28" s="1"/>
  <c r="C156" i="28"/>
  <c r="Q48" i="28"/>
  <c r="E158" i="28" s="1"/>
  <c r="L42" i="28"/>
  <c r="R42" i="28" s="1"/>
  <c r="P41" i="28"/>
  <c r="B151" i="28" s="1"/>
  <c r="N22" i="27"/>
  <c r="N23" i="27"/>
  <c r="N20" i="27"/>
  <c r="N21" i="27"/>
  <c r="N19" i="27"/>
  <c r="F93" i="26"/>
  <c r="P49" i="28"/>
  <c r="L49" i="28"/>
  <c r="R49" i="28" s="1"/>
  <c r="H49" i="28"/>
  <c r="M49" i="28" s="1"/>
  <c r="S49" i="28"/>
  <c r="W49" i="28" s="1"/>
  <c r="Q49" i="28"/>
  <c r="E159" i="28" s="1"/>
  <c r="C159" i="28"/>
  <c r="L51" i="28"/>
  <c r="R51" i="28" s="1"/>
  <c r="Q51" i="28"/>
  <c r="U51" i="28" s="1"/>
  <c r="C161" i="28"/>
  <c r="H51" i="28"/>
  <c r="M51" i="28" s="1"/>
  <c r="S51" i="28"/>
  <c r="G161" i="28" s="1"/>
  <c r="P51" i="28"/>
  <c r="G95" i="26"/>
  <c r="D101" i="26"/>
  <c r="F97" i="26"/>
  <c r="C101" i="26"/>
  <c r="C107" i="26" s="1"/>
  <c r="F96" i="26"/>
  <c r="G96" i="26"/>
  <c r="P18" i="27" a="1"/>
  <c r="W50" i="28" l="1"/>
  <c r="E161" i="28"/>
  <c r="W51" i="28"/>
  <c r="N46" i="28"/>
  <c r="V46" i="28" s="1"/>
  <c r="W46" i="28"/>
  <c r="D156" i="28"/>
  <c r="W45" i="28"/>
  <c r="W44" i="28"/>
  <c r="G153" i="28"/>
  <c r="Z40" i="28"/>
  <c r="W40" i="28"/>
  <c r="Z39" i="28"/>
  <c r="D149" i="28"/>
  <c r="E149" i="28"/>
  <c r="W39" i="28"/>
  <c r="N39" i="28"/>
  <c r="V39" i="28" s="1"/>
  <c r="F101" i="26"/>
  <c r="C109" i="26" s="1"/>
  <c r="D158" i="28"/>
  <c r="E157" i="28"/>
  <c r="Y44" i="28"/>
  <c r="O42" i="28"/>
  <c r="X42" i="28" s="1"/>
  <c r="D155" i="28"/>
  <c r="N45" i="28"/>
  <c r="F155" i="28" s="1"/>
  <c r="N44" i="28"/>
  <c r="V44" i="28" s="1"/>
  <c r="O44" i="28"/>
  <c r="X44" i="28" s="1"/>
  <c r="D154" i="28"/>
  <c r="E152" i="28"/>
  <c r="B156" i="28"/>
  <c r="Y42" i="28"/>
  <c r="T50" i="28"/>
  <c r="O50" i="28"/>
  <c r="X50" i="28" s="1"/>
  <c r="T51" i="28"/>
  <c r="O51" i="28"/>
  <c r="X51" i="28" s="1"/>
  <c r="AA51" i="28" s="1"/>
  <c r="Z50" i="28"/>
  <c r="D161" i="28"/>
  <c r="U50" i="28"/>
  <c r="Y50" i="28"/>
  <c r="N50" i="28"/>
  <c r="Z51" i="28"/>
  <c r="N51" i="28"/>
  <c r="F161" i="28" s="1"/>
  <c r="D160" i="28"/>
  <c r="T49" i="28"/>
  <c r="O49" i="28"/>
  <c r="X49" i="28" s="1"/>
  <c r="T48" i="28"/>
  <c r="O48" i="28"/>
  <c r="X48" i="28" s="1"/>
  <c r="T47" i="28"/>
  <c r="O47" i="28"/>
  <c r="X47" i="28" s="1"/>
  <c r="G159" i="28"/>
  <c r="U49" i="28"/>
  <c r="Z49" i="28" s="1"/>
  <c r="U48" i="28"/>
  <c r="G157" i="28"/>
  <c r="D157" i="28"/>
  <c r="N48" i="28"/>
  <c r="Y48" i="28"/>
  <c r="Z48" i="28"/>
  <c r="N49" i="28"/>
  <c r="Z47" i="28"/>
  <c r="D159" i="28"/>
  <c r="G158" i="28"/>
  <c r="N47" i="28"/>
  <c r="T46" i="28"/>
  <c r="O46" i="28"/>
  <c r="X46" i="28" s="1"/>
  <c r="AA46" i="28" s="1"/>
  <c r="U44" i="28"/>
  <c r="Z44" i="28" s="1"/>
  <c r="T45" i="28"/>
  <c r="O45" i="28"/>
  <c r="X45" i="28" s="1"/>
  <c r="U46" i="28"/>
  <c r="Y45" i="28"/>
  <c r="F156" i="28"/>
  <c r="E155" i="28"/>
  <c r="U45" i="28"/>
  <c r="Z46" i="28"/>
  <c r="T41" i="28"/>
  <c r="O41" i="28"/>
  <c r="X41" i="28" s="1"/>
  <c r="T43" i="28"/>
  <c r="O43" i="28"/>
  <c r="X43" i="28" s="1"/>
  <c r="D152" i="28"/>
  <c r="E151" i="28"/>
  <c r="N41" i="28"/>
  <c r="N42" i="28"/>
  <c r="Z42" i="28"/>
  <c r="D153" i="28"/>
  <c r="G152" i="28"/>
  <c r="D151" i="28"/>
  <c r="N43" i="28"/>
  <c r="Z41" i="28"/>
  <c r="U43" i="28"/>
  <c r="Z43" i="28" s="1"/>
  <c r="G151" i="28"/>
  <c r="T40" i="28"/>
  <c r="O40" i="28"/>
  <c r="X40" i="28" s="1"/>
  <c r="N40" i="28"/>
  <c r="E150" i="28"/>
  <c r="G150" i="28"/>
  <c r="D150" i="28"/>
  <c r="Y40" i="28"/>
  <c r="T39" i="28"/>
  <c r="O39" i="28"/>
  <c r="X39" i="28" s="1"/>
  <c r="G149" i="28"/>
  <c r="Y39" i="28"/>
  <c r="D148" i="28"/>
  <c r="Y38" i="28"/>
  <c r="Y47" i="28"/>
  <c r="H99" i="26"/>
  <c r="Y43" i="28"/>
  <c r="Y41" i="28"/>
  <c r="P18" i="27"/>
  <c r="B159" i="28"/>
  <c r="Y49" i="28"/>
  <c r="B161" i="28"/>
  <c r="Y51" i="28"/>
  <c r="H96" i="26"/>
  <c r="H94" i="26"/>
  <c r="H98" i="26"/>
  <c r="H95" i="26"/>
  <c r="H93" i="26"/>
  <c r="H97" i="26"/>
  <c r="H100" i="26"/>
  <c r="AA44" i="28" l="1"/>
  <c r="AA45" i="28"/>
  <c r="Z45" i="28"/>
  <c r="AA39" i="28"/>
  <c r="F149" i="28"/>
  <c r="V45" i="28"/>
  <c r="F154" i="28"/>
  <c r="V50" i="28"/>
  <c r="AA50" i="28" s="1"/>
  <c r="F160" i="28"/>
  <c r="V49" i="28"/>
  <c r="AA49" i="28" s="1"/>
  <c r="F159" i="28"/>
  <c r="V47" i="28"/>
  <c r="AA47" i="28" s="1"/>
  <c r="F157" i="28"/>
  <c r="V48" i="28"/>
  <c r="AA48" i="28" s="1"/>
  <c r="F158" i="28"/>
  <c r="V42" i="28"/>
  <c r="AA42" i="28" s="1"/>
  <c r="F152" i="28"/>
  <c r="V41" i="28"/>
  <c r="AA41" i="28" s="1"/>
  <c r="F151" i="28"/>
  <c r="V43" i="28"/>
  <c r="AA43" i="28" s="1"/>
  <c r="F153" i="28"/>
  <c r="V40" i="28"/>
  <c r="AA40" i="28" s="1"/>
  <c r="F150" i="28"/>
  <c r="C191" i="28"/>
  <c r="E191" i="28" s="1"/>
  <c r="C190" i="28"/>
  <c r="J99" i="26"/>
  <c r="K99" i="26" s="1"/>
  <c r="J97" i="26"/>
  <c r="K97" i="26" s="1"/>
  <c r="J95" i="26"/>
  <c r="K95" i="26" s="1"/>
  <c r="J96" i="26"/>
  <c r="K96" i="26" s="1"/>
  <c r="J94" i="26"/>
  <c r="K94" i="26" s="1"/>
  <c r="J100" i="26"/>
  <c r="K100" i="26" s="1"/>
  <c r="J93" i="26"/>
  <c r="K93" i="26" s="1"/>
  <c r="J98" i="26"/>
  <c r="K98" i="26" s="1"/>
  <c r="K102" i="26" l="1"/>
  <c r="E6" i="4"/>
  <c r="E5" i="4"/>
  <c r="E7" i="4"/>
  <c r="E4" i="4"/>
  <c r="E3" i="4"/>
  <c r="E8" i="4"/>
  <c r="F6" i="4"/>
  <c r="F7" i="4"/>
  <c r="F5" i="4"/>
  <c r="F4" i="4"/>
  <c r="F3" i="4"/>
  <c r="F8" i="4"/>
  <c r="E14" i="4"/>
  <c r="E11" i="4"/>
  <c r="E12" i="4"/>
  <c r="E10" i="4"/>
  <c r="E13" i="4"/>
  <c r="F14" i="4"/>
  <c r="F11" i="4"/>
  <c r="F12" i="4"/>
  <c r="F10" i="4"/>
  <c r="F13" i="4"/>
  <c r="E30" i="4"/>
  <c r="E34" i="4"/>
  <c r="E32" i="4"/>
  <c r="E31" i="4"/>
  <c r="E29" i="4"/>
  <c r="E28" i="4"/>
  <c r="E33" i="4"/>
  <c r="F30" i="4"/>
  <c r="F34" i="4"/>
  <c r="F31" i="4"/>
  <c r="F32" i="4"/>
  <c r="F29" i="4"/>
  <c r="F28" i="4"/>
  <c r="F33" i="4"/>
  <c r="N38" i="28" l="1"/>
  <c r="U38" i="28"/>
  <c r="S38" i="28"/>
  <c r="W38" i="28" s="1"/>
  <c r="H38" i="28"/>
  <c r="M38" i="28" s="1"/>
  <c r="T38" i="28" l="1"/>
  <c r="E183" i="28" s="1"/>
  <c r="O38" i="28"/>
  <c r="X38" i="28" s="1"/>
  <c r="C176" i="28"/>
  <c r="C177" i="28" s="1"/>
  <c r="E177" i="28" s="1"/>
  <c r="Z38" i="28"/>
  <c r="G148" i="28"/>
  <c r="C193" i="28"/>
  <c r="V38" i="28"/>
  <c r="C183" i="28"/>
  <c r="F148" i="28"/>
  <c r="AA38" i="28" l="1"/>
  <c r="C179" i="28"/>
  <c r="AB37" i="28" a="1"/>
  <c r="AB37" i="2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tc={CE8CCE2F-1D51-466F-9E52-882E1AF4CCC2}</author>
    <author>Molly Bazilchuk</author>
  </authors>
  <commentList>
    <comment ref="D1" authorId="0" shapeId="0" xr:uid="{CE8CCE2F-1D51-466F-9E52-882E1AF4CCC2}">
      <text>
        <t>[Threaded comment]
Your version of Excel allows you to read this threaded comment; however, any edits to it will get removed if the file is opened in a newer version of Excel. Learn more: https://go.microsoft.com/fwlink/?linkid=870924
Comment:
    Molly; dette er A1-A3 nå?</t>
      </text>
    </comment>
    <comment ref="E3" authorId="1" shapeId="0" xr:uid="{0724D35E-37AF-46CD-AA1F-8A56188FBF32}">
      <text>
        <r>
          <rPr>
            <b/>
            <sz val="9"/>
            <rFont val="Tahoma"/>
            <family val="2"/>
          </rPr>
          <t>Molly Bazilchuk:</t>
        </r>
        <r>
          <rPr>
            <sz val="9"/>
            <rFont val="Tahoma"/>
            <family val="2"/>
          </rPr>
          <t xml:space="preserve">
Verdiene tas fra Gjennomsnitt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<sst xmlns="http://schemas.openxmlformats.org/spreadsheetml/2006/main" count="269" uniqueCount="204">
  <si>
    <r>
      <rPr>
        <u/>
        <sz val="11"/>
        <color rgb="FF005082"/>
        <rFont val="Source Sans Pro"/>
        <family val="2"/>
      </rPr>
      <t>Johdanto!A1</t>
    </r>
  </si>
  <si>
    <r>
      <rPr>
        <b/>
        <sz val="24"/>
        <color rgb="FF002E49"/>
        <rFont val="Source Sans Pro"/>
        <family val="2"/>
      </rPr>
      <t>Työntekijöiden määrä</t>
    </r>
  </si>
  <si>
    <r>
      <rPr>
        <b/>
        <sz val="24"/>
        <color rgb="FF002E49"/>
        <rFont val="Source Sans Pro"/>
        <family val="2"/>
      </rPr>
      <t>Pääluokka</t>
    </r>
  </si>
  <si>
    <r>
      <rPr>
        <b/>
        <sz val="24"/>
        <color rgb="FF002E49"/>
        <rFont val="Source Sans Pro"/>
        <family val="2"/>
      </rPr>
      <t>Yksikköjen määrä</t>
    </r>
  </si>
  <si>
    <t>Jalanjälki, vuodessa [kg CO2-ekv]</t>
  </si>
  <si>
    <r>
      <rPr>
        <b/>
        <i/>
        <sz val="16"/>
        <color rgb="FF00284B"/>
        <rFont val="Source Sans Pro"/>
        <family val="2"/>
      </rPr>
      <t>KAIKKI HARMAAT PIILOTETAAN (käytetään kaavioiden luomiseen)</t>
    </r>
  </si>
  <si>
    <r>
      <rPr>
        <b/>
        <sz val="16"/>
        <color rgb="FFFFFFFF"/>
        <rFont val="Source Sans Pro"/>
        <family val="2"/>
      </rPr>
      <t>Luokka</t>
    </r>
  </si>
  <si>
    <r>
      <rPr>
        <b/>
        <sz val="16"/>
        <color rgb="FFFFFFFF"/>
        <rFont val="Source Sans Pro"/>
        <family val="2"/>
      </rPr>
      <t>Jalanjälki, vuodessa [kg CO2-ekv]</t>
    </r>
  </si>
  <si>
    <t>Kustannukset, vuodessa [NOK]</t>
  </si>
  <si>
    <r>
      <rPr>
        <b/>
        <sz val="16"/>
        <color rgb="FFFFFFFF"/>
        <rFont val="Source Sans Pro"/>
        <family val="2"/>
      </rPr>
      <t>Jalanjälki työntekijää kohden (yhteensä) [kg CO2-ekv]</t>
    </r>
  </si>
  <si>
    <r>
      <rPr>
        <b/>
        <sz val="16"/>
        <color rgb="FFFFFFFF"/>
        <rFont val="Source Sans Pro"/>
        <family val="2"/>
      </rPr>
      <t>Jalanjälki, työntekijää kohden vuodessa [kg CO2-ekv]</t>
    </r>
  </si>
  <si>
    <r>
      <rPr>
        <sz val="11"/>
        <color rgb="FF00284B"/>
        <rFont val="Source Sans Pro"/>
        <family val="2"/>
      </rPr>
      <t>Valittu sarja</t>
    </r>
  </si>
  <si>
    <r>
      <rPr>
        <sz val="11"/>
        <color rgb="FF00284B"/>
        <rFont val="Source Sans Pro"/>
        <family val="2"/>
      </rPr>
      <t>Sijoitus</t>
    </r>
  </si>
  <si>
    <r>
      <rPr>
        <sz val="11"/>
        <color rgb="FF00284B"/>
        <rFont val="Source Sans Pro"/>
        <family val="2"/>
      </rPr>
      <t>Luokka</t>
    </r>
  </si>
  <si>
    <r>
      <rPr>
        <sz val="16"/>
        <color rgb="FF002E49"/>
        <rFont val="Source Sans Pro"/>
        <family val="2"/>
      </rPr>
      <t>Yhteensä</t>
    </r>
  </si>
  <si>
    <r>
      <rPr>
        <sz val="11"/>
        <color rgb="FF00284B"/>
        <rFont val="Source Sans Pro"/>
        <family val="2"/>
      </rPr>
      <t>Yhteensä</t>
    </r>
  </si>
  <si>
    <r>
      <rPr>
        <sz val="11"/>
        <color rgb="FF00284B"/>
        <rFont val="Source Sans Pro"/>
        <family val="2"/>
      </rPr>
      <t>ICT-jalanjälki työntekijää kohden</t>
    </r>
  </si>
  <si>
    <r>
      <rPr>
        <sz val="11"/>
        <color rgb="FF00284B"/>
        <rFont val="Source Sans Pro"/>
        <family val="2"/>
      </rPr>
      <t>TVT-jalanjälki vuodessa</t>
    </r>
  </si>
  <si>
    <r>
      <rPr>
        <sz val="11"/>
        <color rgb="FF00284B"/>
        <rFont val="Source Sans Pro"/>
        <family val="2"/>
      </rPr>
      <t>Vastaa</t>
    </r>
  </si>
  <si>
    <r>
      <rPr>
        <sz val="11"/>
        <color rgb="FF00284B"/>
        <rFont val="Source Sans Pro"/>
        <family val="2"/>
      </rPr>
      <t>meno-paluu Oslo-Trondheim</t>
    </r>
  </si>
  <si>
    <r>
      <rPr>
        <sz val="11"/>
        <color rgb="FF00284B"/>
        <rFont val="Source Sans Pro"/>
        <family val="2"/>
      </rPr>
      <t>ICT-jalanjälki työntekijää kohden vuodessa</t>
    </r>
  </si>
  <si>
    <r>
      <rPr>
        <sz val="11"/>
        <color rgb="FF00284B"/>
        <rFont val="Source Sans Pro"/>
        <family val="2"/>
      </rPr>
      <t>Kustannukset vuodessa</t>
    </r>
  </si>
  <si>
    <r>
      <rPr>
        <sz val="11"/>
        <color theme="0"/>
        <rFont val="Source Sans Pro"/>
        <family val="2"/>
      </rPr>
      <t>(Piilotetaan) --&gt;</t>
    </r>
  </si>
  <si>
    <r>
      <rPr>
        <sz val="11"/>
        <color theme="0"/>
        <rFont val="Source Sans Pro"/>
        <family val="2"/>
      </rPr>
      <t>Toimenpiteet</t>
    </r>
  </si>
  <si>
    <r>
      <rPr>
        <sz val="11"/>
        <color theme="0"/>
        <rFont val="Source Sans Pro"/>
        <family val="2"/>
      </rPr>
      <t>Ilmastojalanjälki vuodessa yksikköä kohden</t>
    </r>
  </si>
  <si>
    <r>
      <rPr>
        <sz val="20"/>
        <color rgb="FF002E49"/>
        <rFont val="Source Sans Pro"/>
        <family val="2"/>
      </rPr>
      <t xml:space="preserve">Luokka </t>
    </r>
  </si>
  <si>
    <t xml:space="preserve">Tietokoneen_näyttö </t>
  </si>
  <si>
    <r>
      <rPr>
        <sz val="20"/>
        <color rgb="FF002E49"/>
        <rFont val="Source Sans Pro"/>
        <family val="2"/>
      </rPr>
      <t>Alaluokka</t>
    </r>
  </si>
  <si>
    <t>Keskiarvo</t>
  </si>
  <si>
    <r>
      <rPr>
        <sz val="11"/>
        <color theme="0"/>
        <rFont val="Source Sans Pro"/>
        <family val="2"/>
      </rPr>
      <t>Virheellinen alaluokka valittu</t>
    </r>
  </si>
  <si>
    <r>
      <rPr>
        <i/>
        <sz val="18"/>
        <color rgb="FFFFFFFF"/>
        <rFont val="Source Sans Pro"/>
        <family val="2"/>
      </rPr>
      <t>Olet valinnut virheellisen alaluokan; näytetään keskimääräisen alaluokan laskenta</t>
    </r>
  </si>
  <si>
    <r>
      <rPr>
        <sz val="11"/>
        <color theme="0"/>
        <rFont val="Source Sans Pro"/>
        <family val="2"/>
      </rPr>
      <t>Ohitus, jos virheellinen alaluokka on valittu</t>
    </r>
  </si>
  <si>
    <r>
      <rPr>
        <b/>
        <i/>
        <sz val="16"/>
        <color rgb="FFFFFFFF"/>
        <rFont val="Source Sans Pro"/>
        <family val="2"/>
      </rPr>
      <t>KAIKKI HARMAAT PIILOTETAAN</t>
    </r>
  </si>
  <si>
    <r>
      <rPr>
        <i/>
        <sz val="16"/>
        <color rgb="FFF6F6F6"/>
        <rFont val="Source Sans Pro"/>
        <family val="2"/>
      </rPr>
      <t>Yhtä tai useampaa valittua alaluokkaa ei ole olemassa valitulle pääluokalle – vaihda alaluokkaa saadaksesi pätevän laskelman</t>
    </r>
  </si>
  <si>
    <r>
      <rPr>
        <i/>
        <sz val="14"/>
        <color rgb="FF000000"/>
        <rFont val="Source Sans Pro"/>
        <family val="2"/>
      </rPr>
      <t>Tässä näet vaikutuksen toimintoa kohden</t>
    </r>
  </si>
  <si>
    <r>
      <rPr>
        <i/>
        <sz val="11"/>
        <color rgb="FFF8F8F8"/>
        <rFont val="Source Sans Pro"/>
        <family val="2"/>
      </rPr>
      <t>Valittu näkymä</t>
    </r>
  </si>
  <si>
    <r>
      <rPr>
        <b/>
        <sz val="20"/>
        <color rgb="FF002E49"/>
        <rFont val="Source Sans Pro"/>
        <family val="2"/>
      </rPr>
      <t>Pääluokka</t>
    </r>
  </si>
  <si>
    <r>
      <rPr>
        <b/>
        <sz val="20"/>
        <color rgb="FF002E49"/>
        <rFont val="Source Sans Pro"/>
        <family val="2"/>
      </rPr>
      <t>Alaluokka</t>
    </r>
  </si>
  <si>
    <r>
      <rPr>
        <b/>
        <sz val="20"/>
        <color rgb="FF002E49"/>
        <rFont val="Source Sans Pro"/>
        <family val="2"/>
      </rPr>
      <t>Määrä</t>
    </r>
  </si>
  <si>
    <r>
      <rPr>
        <b/>
        <sz val="20"/>
        <color rgb="FF002E49"/>
        <rFont val="Source Sans Pro"/>
        <family val="2"/>
      </rPr>
      <t>Toimenpiteet</t>
    </r>
  </si>
  <si>
    <r>
      <rPr>
        <b/>
        <sz val="20"/>
        <color rgb="FF002E49"/>
        <rFont val="Source Sans Pro"/>
        <family val="2"/>
      </rPr>
      <t xml:space="preserve">Hinta </t>
    </r>
    <r>
      <rPr>
        <i/>
        <sz val="20"/>
        <color rgb="FF002E49"/>
        <rFont val="Source Sans Pro (Brødtekst)"/>
        <family val="2"/>
      </rPr>
      <t>(lasketaan automaattisesti, jos sitä ei ole täytetty)</t>
    </r>
  </si>
  <si>
    <r>
      <rPr>
        <b/>
        <sz val="20"/>
        <color rgb="FF002E49"/>
        <rFont val="Source Sans Pro"/>
        <family val="2"/>
      </rPr>
      <t xml:space="preserve">Käyttöikä </t>
    </r>
    <r>
      <rPr>
        <i/>
        <sz val="20"/>
        <color rgb="FF002E49"/>
        <rFont val="Source Sans Pro (Brødtekst)"/>
        <family val="2"/>
      </rPr>
      <t>(lasketaan automaattisesti, jos sitä ei ole täytetty)</t>
    </r>
  </si>
  <si>
    <r>
      <rPr>
        <b/>
        <sz val="20"/>
        <color rgb="FF002E49"/>
        <rFont val="Source Sans Pro"/>
        <family val="2"/>
      </rPr>
      <t>Hinta kappaleelta – arvioitu</t>
    </r>
  </si>
  <si>
    <r>
      <rPr>
        <b/>
        <sz val="20"/>
        <color rgb="FFF8F8F8"/>
        <rFont val="Source Sans Pro"/>
        <family val="2"/>
      </rPr>
      <t>Yksilöllinen tunnus</t>
    </r>
  </si>
  <si>
    <r>
      <rPr>
        <b/>
        <sz val="20"/>
        <color rgb="FFF8F8F8"/>
        <rFont val="Source Sans Pro"/>
        <family val="2"/>
      </rPr>
      <t>Kelvollinen alaluokka</t>
    </r>
  </si>
  <si>
    <r>
      <rPr>
        <b/>
        <sz val="20"/>
        <color rgb="FFF8F8F8"/>
        <rFont val="Source Sans Pro"/>
        <family val="2"/>
      </rPr>
      <t>Tiedot täytetty</t>
    </r>
  </si>
  <si>
    <r>
      <rPr>
        <b/>
        <sz val="20"/>
        <color rgb="FF002E49"/>
        <rFont val="Source Sans Pro"/>
        <family val="2"/>
      </rPr>
      <t>Jalanjälki, yhteensä [kg CO2-ekv]</t>
    </r>
  </si>
  <si>
    <t>Kustannus, yhteensä [NOK]</t>
  </si>
  <si>
    <r>
      <rPr>
        <b/>
        <sz val="20"/>
        <color rgb="FF002E49"/>
        <rFont val="Source Sans Pro"/>
        <family val="2"/>
      </rPr>
      <t>Jalanjälki, vuosittainen [kg CO2-ekv]</t>
    </r>
  </si>
  <si>
    <t>Kustannus, vuosittainen [NOK]</t>
  </si>
  <si>
    <r>
      <rPr>
        <b/>
        <sz val="11"/>
        <color rgb="FFF8F8F8"/>
        <rFont val="Source Sans Pro"/>
        <family val="2"/>
      </rPr>
      <t>Hankinta</t>
    </r>
  </si>
  <si>
    <r>
      <rPr>
        <sz val="11"/>
        <color rgb="FFF8F8F8"/>
        <rFont val="Source Sans Pro"/>
        <family val="2"/>
      </rPr>
      <t>Jalanjälki, yhteensä [kg CO2-ekv] Ilman toimenpiteitä</t>
    </r>
  </si>
  <si>
    <t>Jalanjälki, yhteensä [kg CO2-ekv] Toimenpiteillä</t>
  </si>
  <si>
    <t>Kustannus, yhteensä [NOK] Ilman toimenpiteitä</t>
  </si>
  <si>
    <r>
      <rPr>
        <sz val="11"/>
        <color rgb="FFF8F8F8"/>
        <rFont val="Source Sans Pro"/>
        <family val="2"/>
      </rPr>
      <t>Kustannus, yhteensä [NOK] Toimenpiteillä</t>
    </r>
  </si>
  <si>
    <r>
      <rPr>
        <sz val="11"/>
        <color rgb="FFF8F8F8"/>
        <rFont val="Source Sans Pro"/>
        <family val="2"/>
      </rPr>
      <t>Jalanjälki, vuosittainen [kg CO2-ekv] Ilman toimenpiteitä</t>
    </r>
  </si>
  <si>
    <r>
      <rPr>
        <sz val="11"/>
        <color rgb="FFF8F8F8"/>
        <rFont val="Source Sans Pro"/>
        <family val="2"/>
      </rPr>
      <t>Jalanjälki, vuosittainen [kg CO2-ekv] Toimenpiteillä</t>
    </r>
  </si>
  <si>
    <t>Kustannus, vuosittainen [NOK] Ilman toimenpiteitä</t>
  </si>
  <si>
    <t>Kustannus, vuosittainen [NOK] Toimenpiteillä</t>
  </si>
  <si>
    <t>Jalanjälki, yhteensä [kg CO2-ekv]</t>
  </si>
  <si>
    <r>
      <rPr>
        <i/>
        <sz val="16"/>
        <color rgb="FFFFFFFF"/>
        <rFont val="Source Sans Pro"/>
        <family val="2"/>
      </rPr>
      <t xml:space="preserve">Yksityiskohtaiset tulokset näkyvät tässä taulukossa. </t>
    </r>
  </si>
  <si>
    <r>
      <rPr>
        <b/>
        <sz val="20"/>
        <color rgb="FFF8F8F8"/>
        <rFont val="Source Sans Pro"/>
        <family val="2"/>
      </rPr>
      <t>Hankinta</t>
    </r>
  </si>
  <si>
    <r>
      <rPr>
        <b/>
        <sz val="20"/>
        <color rgb="FFF8F8F8"/>
        <rFont val="Source Sans Pro"/>
        <family val="2"/>
      </rPr>
      <t>Määrä</t>
    </r>
  </si>
  <si>
    <r>
      <rPr>
        <b/>
        <sz val="20"/>
        <color rgb="FFF8F8F8"/>
        <rFont val="Source Sans Pro"/>
        <family val="2"/>
      </rPr>
      <t>Jalanjälki, yhteensä [kg CO2-ekv] - toimenpiteillä</t>
    </r>
  </si>
  <si>
    <r>
      <rPr>
        <b/>
        <sz val="20"/>
        <color rgb="FFF8F8F8"/>
        <rFont val="Source Sans Pro"/>
        <family val="2"/>
      </rPr>
      <t>Toimenpiteillä</t>
    </r>
  </si>
  <si>
    <r>
      <rPr>
        <b/>
        <sz val="20"/>
        <color rgb="FFF8F8F8"/>
        <rFont val="Source Sans Pro"/>
        <family val="2"/>
      </rPr>
      <t>Täysin uusi</t>
    </r>
  </si>
  <si>
    <r>
      <rPr>
        <sz val="11"/>
        <color rgb="FF00284B"/>
        <rFont val="Source Sans Pro"/>
        <family val="2"/>
      </rPr>
      <t>PIILOTETAAN</t>
    </r>
  </si>
  <si>
    <r>
      <rPr>
        <sz val="14"/>
        <color rgb="FF00284B"/>
        <rFont val="Source Sans Pro"/>
        <family val="2"/>
      </rPr>
      <t xml:space="preserve">Kokonaisvähennys: </t>
    </r>
  </si>
  <si>
    <r>
      <rPr>
        <sz val="14"/>
        <color rgb="FF00284B"/>
        <rFont val="Source Sans Pro"/>
        <family val="2"/>
      </rPr>
      <t>kg CO2e verrattuna kaiken ostamiseen uutena (yhteensä)</t>
    </r>
  </si>
  <si>
    <r>
      <rPr>
        <sz val="14"/>
        <color rgb="FF00284B"/>
        <rFont val="Source Sans Pro"/>
        <family val="2"/>
      </rPr>
      <t>Tämä vastaa</t>
    </r>
  </si>
  <si>
    <r>
      <rPr>
        <sz val="14"/>
        <color rgb="FF00284B"/>
        <rFont val="Source Sans Pro"/>
        <family val="2"/>
      </rPr>
      <t xml:space="preserve">lentomatkustamisen kilometrit, jotka ovat </t>
    </r>
  </si>
  <si>
    <r>
      <rPr>
        <sz val="14"/>
        <color rgb="FF00284B"/>
        <rFont val="Source Sans Pro"/>
        <family val="2"/>
      </rPr>
      <t>matkat meno-paluu Oslo-Trondheim</t>
    </r>
  </si>
  <si>
    <r>
      <rPr>
        <sz val="14"/>
        <color rgb="FF00284B"/>
        <rFont val="Source Sans Pro"/>
        <family val="2"/>
      </rPr>
      <t xml:space="preserve">Vuosittainen vähennys: </t>
    </r>
  </si>
  <si>
    <r>
      <rPr>
        <sz val="14"/>
        <color rgb="FF00284B"/>
        <rFont val="Source Sans Pro"/>
        <family val="2"/>
      </rPr>
      <t>kgCO2e verrattuna kaiken ostamiseen uutena (vuosittain)</t>
    </r>
  </si>
  <si>
    <r>
      <rPr>
        <b/>
        <sz val="16"/>
        <color rgb="FF00284B"/>
        <rFont val="Source Sans Pro"/>
        <family val="2"/>
      </rPr>
      <t>Säästät myös rahaa – arvioimme, että säästät</t>
    </r>
  </si>
  <si>
    <r>
      <rPr>
        <sz val="14"/>
        <color rgb="FF00284B"/>
        <rFont val="Source Sans Pro"/>
        <family val="2"/>
      </rPr>
      <t>yhteensä kruunua tai</t>
    </r>
  </si>
  <si>
    <r>
      <rPr>
        <sz val="14"/>
        <color rgb="FF00284B"/>
        <rFont val="Source Sans Pro"/>
        <family val="2"/>
      </rPr>
      <t>kruunua vuodessa verrattuna kaiken ostamiseen uutena</t>
    </r>
  </si>
  <si>
    <r>
      <rPr>
        <b/>
        <sz val="16"/>
        <color theme="0"/>
        <rFont val="Source Sans Pro"/>
        <family val="2"/>
      </rPr>
      <t>Hurraa! Hankintastrategiasi säästää ilmastoa</t>
    </r>
  </si>
  <si>
    <r>
      <rPr>
        <sz val="14"/>
        <color theme="0"/>
        <rFont val="Source Sans Pro"/>
        <family val="2"/>
      </rPr>
      <t xml:space="preserve">Kokonaisvähennys: </t>
    </r>
  </si>
  <si>
    <r>
      <rPr>
        <sz val="14"/>
        <color theme="0"/>
        <rFont val="Source Sans Pro"/>
        <family val="2"/>
      </rPr>
      <t>kg CO2-ekv verrattuna kaiken ostamiseen uutena (yhteensä)</t>
    </r>
  </si>
  <si>
    <r>
      <rPr>
        <sz val="14"/>
        <color theme="0"/>
        <rFont val="Source Sans Pro"/>
        <family val="2"/>
      </rPr>
      <t>Tämä vastaa</t>
    </r>
  </si>
  <si>
    <r>
      <rPr>
        <sz val="14"/>
        <color theme="0"/>
        <rFont val="Source Sans Pro"/>
        <family val="2"/>
      </rPr>
      <t xml:space="preserve">lentomatkustamisen kilometrit, jotka ovat </t>
    </r>
  </si>
  <si>
    <r>
      <rPr>
        <sz val="14"/>
        <color theme="0"/>
        <rFont val="Source Sans Pro"/>
        <family val="2"/>
      </rPr>
      <t>matkat meno-paluu Oslo-Trondheim</t>
    </r>
  </si>
  <si>
    <r>
      <rPr>
        <sz val="14"/>
        <color theme="0"/>
        <rFont val="Source Sans Pro"/>
        <family val="2"/>
      </rPr>
      <t xml:space="preserve">Vuosittainen vähennys: </t>
    </r>
  </si>
  <si>
    <r>
      <rPr>
        <sz val="14"/>
        <color theme="0"/>
        <rFont val="Source Sans Pro"/>
        <family val="2"/>
      </rPr>
      <t>kg CO2-ekv verrattuna kaiken ostamiseen uutena (vuodessa)</t>
    </r>
  </si>
  <si>
    <r>
      <rPr>
        <b/>
        <sz val="16"/>
        <color theme="0"/>
        <rFont val="Source Sans Pro"/>
        <family val="2"/>
      </rPr>
      <t>Säästät myös rahaa – arvioimme, että säästät</t>
    </r>
  </si>
  <si>
    <r>
      <rPr>
        <sz val="14"/>
        <color theme="0"/>
        <rFont val="Source Sans Pro"/>
        <family val="2"/>
      </rPr>
      <t>yhteensä kruunua tai</t>
    </r>
  </si>
  <si>
    <r>
      <rPr>
        <sz val="14"/>
        <color theme="0"/>
        <rFont val="Source Sans Pro"/>
        <family val="2"/>
      </rPr>
      <t>kruunua vuodessa verrattuna kaiken ostamiseen uutena</t>
    </r>
  </si>
  <si>
    <r>
      <rPr>
        <b/>
        <sz val="22"/>
        <color rgb="FF002E49"/>
        <rFont val="Source Sans Pro"/>
        <family val="2"/>
      </rPr>
      <t>Pääluokka</t>
    </r>
  </si>
  <si>
    <r>
      <rPr>
        <b/>
        <sz val="22"/>
        <color rgb="FF002E49"/>
        <rFont val="Source Sans Pro"/>
        <family val="2"/>
      </rPr>
      <t>Alaluokka</t>
    </r>
  </si>
  <si>
    <r>
      <rPr>
        <b/>
        <sz val="22"/>
        <color rgb="FF002E49"/>
        <rFont val="Source Sans Pro"/>
        <family val="2"/>
      </rPr>
      <t>Käyttöikä [vuotta]</t>
    </r>
  </si>
  <si>
    <r>
      <rPr>
        <b/>
        <sz val="22"/>
        <color rgb="FF002E49"/>
        <rFont val="Source Sans Pro"/>
        <family val="2"/>
      </rPr>
      <t>kg CO2-ekv tuotetta kohden</t>
    </r>
  </si>
  <si>
    <r>
      <rPr>
        <b/>
        <sz val="22"/>
        <color rgb="FF002E49"/>
        <rFont val="Source Sans Pro"/>
        <family val="2"/>
      </rPr>
      <t>Hinta uutena ostettuna [NOK ilman ALV:tä]</t>
    </r>
  </si>
  <si>
    <r>
      <rPr>
        <sz val="20"/>
        <color rgb="FF000000"/>
        <rFont val="Source Sans Pro"/>
        <family val="2"/>
      </rPr>
      <t>Keskiarvo</t>
    </r>
  </si>
  <si>
    <r>
      <rPr>
        <sz val="20"/>
        <color rgb="FF000000"/>
        <rFont val="Source Sans Pro"/>
        <family val="2"/>
      </rPr>
      <t>22"</t>
    </r>
  </si>
  <si>
    <r>
      <rPr>
        <sz val="20"/>
        <color rgb="FF000000"/>
        <rFont val="Source Sans Pro"/>
        <family val="2"/>
      </rPr>
      <t>24"</t>
    </r>
  </si>
  <si>
    <r>
      <rPr>
        <sz val="20"/>
        <color rgb="FF000000"/>
        <rFont val="Source Sans Pro"/>
        <family val="2"/>
      </rPr>
      <t>27"</t>
    </r>
  </si>
  <si>
    <r>
      <rPr>
        <sz val="20"/>
        <color rgb="FF000000"/>
        <rFont val="Source Sans Pro"/>
        <family val="2"/>
      </rPr>
      <t>30"</t>
    </r>
  </si>
  <si>
    <r>
      <rPr>
        <sz val="20"/>
        <color rgb="FF000000"/>
        <rFont val="Source Sans Pro"/>
        <family val="2"/>
      </rPr>
      <t>32"</t>
    </r>
  </si>
  <si>
    <r>
      <rPr>
        <sz val="20"/>
        <color rgb="FF000000"/>
        <rFont val="Source Sans Pro"/>
        <family val="2"/>
      </rPr>
      <t>34"</t>
    </r>
  </si>
  <si>
    <r>
      <rPr>
        <sz val="20"/>
        <color rgb="FF000000"/>
        <rFont val="Source Sans Pro"/>
        <family val="2"/>
      </rPr>
      <t>12"</t>
    </r>
  </si>
  <si>
    <r>
      <rPr>
        <sz val="20"/>
        <color rgb="FF000000"/>
        <rFont val="Source Sans Pro"/>
        <family val="2"/>
      </rPr>
      <t>13 tuumaa</t>
    </r>
  </si>
  <si>
    <r>
      <rPr>
        <sz val="20"/>
        <color rgb="FF000000"/>
        <rFont val="Source Sans Pro"/>
        <family val="2"/>
      </rPr>
      <t>14"</t>
    </r>
  </si>
  <si>
    <r>
      <rPr>
        <sz val="20"/>
        <color rgb="FF000000"/>
        <rFont val="Source Sans Pro"/>
        <family val="2"/>
      </rPr>
      <t>15"</t>
    </r>
  </si>
  <si>
    <r>
      <rPr>
        <sz val="20"/>
        <color rgb="FF000000"/>
        <rFont val="Source Sans Pro"/>
        <family val="2"/>
      </rPr>
      <t>16"</t>
    </r>
  </si>
  <si>
    <r>
      <rPr>
        <sz val="20"/>
        <color rgb="FF000000"/>
        <rFont val="Source Sans Pro"/>
        <family val="2"/>
      </rPr>
      <t>Tehokas</t>
    </r>
  </si>
  <si>
    <r>
      <rPr>
        <sz val="20"/>
        <color rgb="FF000000"/>
        <rFont val="Source Sans Pro"/>
        <family val="2"/>
      </rPr>
      <t>Yleinen</t>
    </r>
  </si>
  <si>
    <t xml:space="preserve">Matkapuhelin </t>
  </si>
  <si>
    <r>
      <rPr>
        <sz val="20"/>
        <color rgb="FF000000"/>
        <rFont val="Source Sans Pro"/>
        <family val="2"/>
      </rPr>
      <t>2,5</t>
    </r>
  </si>
  <si>
    <r>
      <rPr>
        <sz val="20"/>
        <color rgb="FF000000"/>
        <rFont val="Source Sans Pro"/>
        <family val="2"/>
      </rPr>
      <t>4"</t>
    </r>
  </si>
  <si>
    <r>
      <rPr>
        <sz val="20"/>
        <color rgb="FF000000"/>
        <rFont val="Source Sans Pro"/>
        <family val="2"/>
      </rPr>
      <t>5"</t>
    </r>
  </si>
  <si>
    <r>
      <rPr>
        <sz val="20"/>
        <color rgb="FF000000"/>
        <rFont val="Source Sans Pro"/>
        <family val="2"/>
      </rPr>
      <t>6"</t>
    </r>
  </si>
  <si>
    <r>
      <rPr>
        <sz val="20"/>
        <color rgb="FF000000"/>
        <rFont val="Source Sans Pro"/>
        <family val="2"/>
      </rPr>
      <t>7"</t>
    </r>
  </si>
  <si>
    <t xml:space="preserve">Tabletti </t>
  </si>
  <si>
    <r>
      <rPr>
        <sz val="20"/>
        <color rgb="FF000000"/>
        <rFont val="Source Sans Pro"/>
        <family val="2"/>
      </rPr>
      <t>8"</t>
    </r>
  </si>
  <si>
    <r>
      <rPr>
        <sz val="20"/>
        <color rgb="FF000000"/>
        <rFont val="Source Sans Pro"/>
        <family val="2"/>
      </rPr>
      <t>10"</t>
    </r>
  </si>
  <si>
    <t xml:space="preserve">Kokoushuoneen näyttö </t>
  </si>
  <si>
    <r>
      <rPr>
        <sz val="20"/>
        <color rgb="FF000000"/>
        <rFont val="Source Sans Pro"/>
        <family val="2"/>
      </rPr>
      <t>37 500</t>
    </r>
  </si>
  <si>
    <r>
      <rPr>
        <sz val="20"/>
        <color rgb="FF000000"/>
        <rFont val="Source Sans Pro"/>
        <family val="2"/>
      </rPr>
      <t>55"</t>
    </r>
  </si>
  <si>
    <r>
      <rPr>
        <sz val="20"/>
        <color rgb="FF000000"/>
        <rFont val="Source Sans Pro"/>
        <family val="2"/>
      </rPr>
      <t>60"</t>
    </r>
  </si>
  <si>
    <r>
      <rPr>
        <sz val="20"/>
        <color rgb="FF000000"/>
        <rFont val="Source Sans Pro"/>
        <family val="2"/>
      </rPr>
      <t>65"</t>
    </r>
  </si>
  <si>
    <r>
      <rPr>
        <sz val="20"/>
        <color rgb="FF000000"/>
        <rFont val="Source Sans Pro"/>
        <family val="2"/>
      </rPr>
      <t>70"</t>
    </r>
  </si>
  <si>
    <r>
      <rPr>
        <sz val="20"/>
        <color rgb="FF000000"/>
        <rFont val="Source Sans Pro"/>
        <family val="2"/>
      </rPr>
      <t>75"</t>
    </r>
  </si>
  <si>
    <r>
      <rPr>
        <sz val="20"/>
        <color rgb="FF000000"/>
        <rFont val="Source Sans Pro"/>
        <family val="2"/>
      </rPr>
      <t>80"</t>
    </r>
  </si>
  <si>
    <r>
      <rPr>
        <sz val="20"/>
        <color rgb="FF000000"/>
        <rFont val="Source Sans Pro"/>
        <family val="2"/>
      </rPr>
      <t>85"</t>
    </r>
  </si>
  <si>
    <r>
      <rPr>
        <sz val="20"/>
        <color rgb="FF000000"/>
        <rFont val="Source Sans Pro"/>
        <family val="2"/>
      </rPr>
      <t>Keskivertotuote</t>
    </r>
  </si>
  <si>
    <r>
      <rPr>
        <b/>
        <sz val="11"/>
        <color rgb="FF000000"/>
        <rFont val="Source Sans Pro"/>
        <family val="2"/>
      </rPr>
      <t>Yksilöllinen tunnus</t>
    </r>
  </si>
  <si>
    <r>
      <rPr>
        <b/>
        <sz val="11"/>
        <color rgb="FF000000"/>
        <rFont val="Source Sans Pro"/>
        <family val="2"/>
      </rPr>
      <t>Pääluokka</t>
    </r>
  </si>
  <si>
    <r>
      <rPr>
        <b/>
        <sz val="11"/>
        <color rgb="FF000000"/>
        <rFont val="Source Sans Pro"/>
        <family val="2"/>
      </rPr>
      <t>Alaluokka</t>
    </r>
  </si>
  <si>
    <r>
      <rPr>
        <b/>
        <sz val="11"/>
        <color rgb="FF000000"/>
        <rFont val="Source Sans Pro"/>
        <family val="2"/>
      </rPr>
      <t>Ilmastojalanjälki [kg CO2e/kpl, tuotanto A1-A3]</t>
    </r>
  </si>
  <si>
    <r>
      <rPr>
        <b/>
        <sz val="11"/>
        <color rgb="FF000000"/>
        <rFont val="Source Sans Pro"/>
        <family val="2"/>
      </rPr>
      <t>Käyttöikä [vuotta]</t>
    </r>
  </si>
  <si>
    <r>
      <rPr>
        <b/>
        <sz val="11"/>
        <color rgb="FF000000"/>
        <rFont val="Source Sans Pro"/>
        <family val="2"/>
      </rPr>
      <t>Hinta</t>
    </r>
  </si>
  <si>
    <r>
      <rPr>
        <b/>
        <sz val="11"/>
        <color rgb="FF000000"/>
        <rFont val="Source Sans Pro"/>
        <family val="2"/>
      </rPr>
      <t>Skaalaustekijät</t>
    </r>
  </si>
  <si>
    <r>
      <rPr>
        <b/>
        <sz val="11"/>
        <color rgb="FF000000"/>
        <rFont val="Source Sans Pro"/>
        <family val="2"/>
      </rPr>
      <t>Kallistus</t>
    </r>
  </si>
  <si>
    <r>
      <rPr>
        <b/>
        <sz val="11"/>
        <color rgb="FF000000"/>
        <rFont val="Source Sans Pro"/>
        <family val="2"/>
      </rPr>
      <t>Keskeytä</t>
    </r>
  </si>
  <si>
    <r>
      <rPr>
        <b/>
        <sz val="11"/>
        <color rgb="FF000000"/>
        <rFont val="Source Sans Pro"/>
        <family val="2"/>
      </rPr>
      <t>Voimassaolo väh.</t>
    </r>
  </si>
  <si>
    <r>
      <rPr>
        <b/>
        <sz val="11"/>
        <color rgb="FF000000"/>
        <rFont val="Source Sans Pro"/>
        <family val="2"/>
      </rPr>
      <t>Voimassaolo enint.</t>
    </r>
  </si>
  <si>
    <r>
      <rPr>
        <sz val="11"/>
        <color rgb="FF000000"/>
        <rFont val="Source Sans Pro"/>
        <family val="2"/>
      </rPr>
      <t>Keskiarvo</t>
    </r>
  </si>
  <si>
    <r>
      <rPr>
        <sz val="11"/>
        <color rgb="FF000000"/>
        <rFont val="Source Sans Pro"/>
        <family val="2"/>
      </rPr>
      <t>Näyttö, työpiste</t>
    </r>
  </si>
  <si>
    <r>
      <rPr>
        <sz val="11"/>
        <color rgb="FF000000"/>
        <rFont val="Source Sans Pro"/>
        <family val="2"/>
      </rPr>
      <t>22"</t>
    </r>
  </si>
  <si>
    <r>
      <rPr>
        <sz val="11"/>
        <color rgb="FF000000"/>
        <rFont val="Source Sans Pro"/>
        <family val="2"/>
      </rPr>
      <t>Kannettava tietokone</t>
    </r>
  </si>
  <si>
    <r>
      <rPr>
        <sz val="11"/>
        <color rgb="FF000000"/>
        <rFont val="Source Sans Pro"/>
        <family val="2"/>
      </rPr>
      <t>24"</t>
    </r>
  </si>
  <si>
    <r>
      <rPr>
        <sz val="11"/>
        <color rgb="FF000000"/>
        <rFont val="Source Sans Pro"/>
        <family val="2"/>
      </rPr>
      <t>Matkapuhelin</t>
    </r>
  </si>
  <si>
    <r>
      <rPr>
        <sz val="11"/>
        <color rgb="FF000000"/>
        <rFont val="Source Sans Pro"/>
        <family val="2"/>
      </rPr>
      <t>27"</t>
    </r>
  </si>
  <si>
    <r>
      <rPr>
        <sz val="11"/>
        <color rgb="FF000000"/>
        <rFont val="Source Sans Pro"/>
        <family val="2"/>
      </rPr>
      <t>Tabletti</t>
    </r>
  </si>
  <si>
    <r>
      <rPr>
        <sz val="11"/>
        <color rgb="FF000000"/>
        <rFont val="Source Sans Pro"/>
        <family val="2"/>
      </rPr>
      <t>30"</t>
    </r>
  </si>
  <si>
    <r>
      <rPr>
        <sz val="11"/>
        <color rgb="FF000000"/>
        <rFont val="Source Sans Pro"/>
        <family val="2"/>
      </rPr>
      <t>Näyttö, kokoushuone</t>
    </r>
  </si>
  <si>
    <r>
      <rPr>
        <sz val="11"/>
        <color rgb="FF000000"/>
        <rFont val="Source Sans Pro"/>
        <family val="2"/>
      </rPr>
      <t>32"</t>
    </r>
  </si>
  <si>
    <r>
      <rPr>
        <sz val="11"/>
        <color rgb="FF000000"/>
        <rFont val="Source Sans Pro"/>
        <family val="2"/>
      </rPr>
      <t>34"</t>
    </r>
  </si>
  <si>
    <t xml:space="preserve">Kannettava_tietokone </t>
  </si>
  <si>
    <r>
      <rPr>
        <sz val="11"/>
        <color rgb="FF000000"/>
        <rFont val="Source Sans Pro"/>
        <family val="2"/>
      </rPr>
      <t>12"</t>
    </r>
  </si>
  <si>
    <t>13''</t>
  </si>
  <si>
    <r>
      <rPr>
        <sz val="11"/>
        <color rgb="FF000000"/>
        <rFont val="Source Sans Pro"/>
        <family val="2"/>
      </rPr>
      <t>14"</t>
    </r>
  </si>
  <si>
    <r>
      <rPr>
        <sz val="11"/>
        <color rgb="FF000000"/>
        <rFont val="Source Sans Pro"/>
        <family val="2"/>
      </rPr>
      <t>15"</t>
    </r>
  </si>
  <si>
    <r>
      <rPr>
        <sz val="11"/>
        <color rgb="FF000000"/>
        <rFont val="Source Sans Pro"/>
        <family val="2"/>
      </rPr>
      <t>16"</t>
    </r>
  </si>
  <si>
    <r>
      <rPr>
        <sz val="11"/>
        <color rgb="FF000000"/>
        <rFont val="Source Sans Pro"/>
        <family val="2"/>
      </rPr>
      <t xml:space="preserve">Pöytätietokone </t>
    </r>
  </si>
  <si>
    <r>
      <rPr>
        <sz val="11"/>
        <color rgb="FF000000"/>
        <rFont val="Source Sans Pro"/>
        <family val="2"/>
      </rPr>
      <t>Tehokas</t>
    </r>
  </si>
  <si>
    <r>
      <rPr>
        <sz val="11"/>
        <color rgb="FF000000"/>
        <rFont val="Source Sans Pro"/>
        <family val="2"/>
      </rPr>
      <t>Yleinen</t>
    </r>
  </si>
  <si>
    <r>
      <rPr>
        <sz val="11"/>
        <color rgb="FF000000"/>
        <rFont val="Source Sans Pro"/>
        <family val="2"/>
      </rPr>
      <t xml:space="preserve">Matkapuhelin </t>
    </r>
  </si>
  <si>
    <r>
      <rPr>
        <sz val="11"/>
        <color rgb="FF000000"/>
        <rFont val="Source Sans Pro"/>
        <family val="2"/>
      </rPr>
      <t>4"</t>
    </r>
  </si>
  <si>
    <r>
      <rPr>
        <sz val="11"/>
        <color rgb="FF000000"/>
        <rFont val="Source Sans Pro"/>
        <family val="2"/>
      </rPr>
      <t>5"</t>
    </r>
  </si>
  <si>
    <r>
      <rPr>
        <sz val="11"/>
        <color rgb="FF000000"/>
        <rFont val="Source Sans Pro"/>
        <family val="2"/>
      </rPr>
      <t>6"</t>
    </r>
  </si>
  <si>
    <r>
      <rPr>
        <sz val="11"/>
        <color rgb="FF000000"/>
        <rFont val="Source Sans Pro"/>
        <family val="2"/>
      </rPr>
      <t>7"</t>
    </r>
  </si>
  <si>
    <r>
      <rPr>
        <sz val="11"/>
        <color rgb="FF000000"/>
        <rFont val="Source Sans Pro"/>
        <family val="2"/>
      </rPr>
      <t xml:space="preserve">Tabletti </t>
    </r>
  </si>
  <si>
    <r>
      <rPr>
        <sz val="11"/>
        <color rgb="FF000000"/>
        <rFont val="Source Sans Pro"/>
        <family val="2"/>
      </rPr>
      <t>8"</t>
    </r>
  </si>
  <si>
    <r>
      <rPr>
        <sz val="11"/>
        <color rgb="FF000000"/>
        <rFont val="Source Sans Pro"/>
        <family val="2"/>
      </rPr>
      <t>10"</t>
    </r>
  </si>
  <si>
    <t xml:space="preserve">Kokoushuoneen_näyttö </t>
  </si>
  <si>
    <r>
      <rPr>
        <sz val="11"/>
        <color rgb="FF000000"/>
        <rFont val="Source Sans Pro"/>
        <family val="2"/>
      </rPr>
      <t>55"</t>
    </r>
  </si>
  <si>
    <r>
      <rPr>
        <sz val="11"/>
        <color rgb="FF000000"/>
        <rFont val="Source Sans Pro"/>
        <family val="2"/>
      </rPr>
      <t>60"</t>
    </r>
  </si>
  <si>
    <r>
      <rPr>
        <sz val="11"/>
        <color rgb="FF000000"/>
        <rFont val="Source Sans Pro"/>
        <family val="2"/>
      </rPr>
      <t>65"</t>
    </r>
  </si>
  <si>
    <r>
      <rPr>
        <sz val="11"/>
        <color rgb="FF000000"/>
        <rFont val="Source Sans Pro"/>
        <family val="2"/>
      </rPr>
      <t>70"</t>
    </r>
  </si>
  <si>
    <r>
      <rPr>
        <sz val="11"/>
        <color rgb="FF000000"/>
        <rFont val="Source Sans Pro"/>
        <family val="2"/>
      </rPr>
      <t>75"</t>
    </r>
  </si>
  <si>
    <r>
      <rPr>
        <sz val="11"/>
        <color rgb="FF000000"/>
        <rFont val="Source Sans Pro"/>
        <family val="2"/>
      </rPr>
      <t>80"</t>
    </r>
  </si>
  <si>
    <r>
      <rPr>
        <sz val="11"/>
        <color rgb="FF000000"/>
        <rFont val="Source Sans Pro"/>
        <family val="2"/>
      </rPr>
      <t>85"</t>
    </r>
  </si>
  <si>
    <r>
      <rPr>
        <sz val="11"/>
        <color rgb="FF000000"/>
        <rFont val="Source Sans Pro"/>
        <family val="2"/>
      </rPr>
      <t xml:space="preserve">Reititin </t>
    </r>
  </si>
  <si>
    <r>
      <rPr>
        <sz val="11"/>
        <color rgb="FF000000"/>
        <rFont val="Source Sans Pro"/>
        <family val="2"/>
      </rPr>
      <t xml:space="preserve">Tulostin </t>
    </r>
  </si>
  <si>
    <r>
      <rPr>
        <b/>
        <sz val="11"/>
        <color rgb="FF000000"/>
        <rFont val="Source Sans Pro"/>
        <family val="2"/>
      </rPr>
      <t>Toimenpiteet</t>
    </r>
  </si>
  <si>
    <r>
      <rPr>
        <b/>
        <sz val="11"/>
        <color rgb="FF000000"/>
        <rFont val="Source Sans Pro"/>
        <family val="2"/>
      </rPr>
      <t>Jalanjälken säätäminen (x)</t>
    </r>
  </si>
  <si>
    <r>
      <rPr>
        <b/>
        <sz val="11"/>
        <color rgb="FF000000"/>
        <rFont val="Source Sans Pro"/>
        <family val="2"/>
      </rPr>
      <t>Käyttöiän säätö (+)</t>
    </r>
  </si>
  <si>
    <r>
      <rPr>
        <b/>
        <sz val="11"/>
        <color rgb="FF000000"/>
        <rFont val="Source Sans Pro"/>
        <family val="2"/>
      </rPr>
      <t>Hinnan säätäminen (x)</t>
    </r>
  </si>
  <si>
    <r>
      <rPr>
        <sz val="11"/>
        <color rgb="FF000000"/>
        <rFont val="Source Sans Pro"/>
        <family val="2"/>
      </rPr>
      <t>Ei mitään – uuden ostaminen</t>
    </r>
  </si>
  <si>
    <r>
      <rPr>
        <sz val="11"/>
        <color rgb="FF000000"/>
        <rFont val="Source Sans Pro"/>
        <family val="2"/>
      </rPr>
      <t>Uuden ostaminen laajennetulla takuulla</t>
    </r>
  </si>
  <si>
    <r>
      <rPr>
        <sz val="11"/>
        <color rgb="FF000000"/>
        <rFont val="Source Sans Pro"/>
        <family val="2"/>
      </rPr>
      <t>Käytettynä ostaminen</t>
    </r>
  </si>
  <si>
    <r>
      <rPr>
        <sz val="11"/>
        <color rgb="FF000000"/>
        <rFont val="Source Sans Pro"/>
        <family val="2"/>
      </rPr>
      <t>Korjaus</t>
    </r>
  </si>
  <si>
    <r>
      <rPr>
        <sz val="11"/>
        <color rgb="FF000000"/>
        <rFont val="Source Sans Pro"/>
        <family val="2"/>
      </rPr>
      <t>Sisäinen uudelleenkäyttö</t>
    </r>
  </si>
  <si>
    <r>
      <rPr>
        <b/>
        <sz val="11"/>
        <color rgb="FF000000"/>
        <rFont val="Source Sans Pro"/>
        <family val="2"/>
      </rPr>
      <t>Yleiskatsaus laskurin eri välilehtiin piilotetuista soluista</t>
    </r>
  </si>
  <si>
    <r>
      <rPr>
        <b/>
        <sz val="11"/>
        <color rgb="FF000000"/>
        <rFont val="Source Sans Pro"/>
        <family val="2"/>
      </rPr>
      <t>Välilehti</t>
    </r>
  </si>
  <si>
    <r>
      <rPr>
        <b/>
        <sz val="11"/>
        <color rgb="FF000000"/>
        <rFont val="Source Sans Pro"/>
        <family val="2"/>
      </rPr>
      <t>Solut piilotettu</t>
    </r>
  </si>
  <si>
    <r>
      <rPr>
        <b/>
        <sz val="11"/>
        <color rgb="FF000000"/>
        <rFont val="Source Sans Pro"/>
        <family val="2"/>
      </rPr>
      <t>Sisältää</t>
    </r>
  </si>
  <si>
    <r>
      <rPr>
        <sz val="11"/>
        <color rgb="FF000000"/>
        <rFont val="Source Sans Pro"/>
        <family val="2"/>
      </rPr>
      <t>Ilmastojalanjälkesi</t>
    </r>
  </si>
  <si>
    <t>G92:K102</t>
  </si>
  <si>
    <r>
      <rPr>
        <sz val="11"/>
        <color rgb="FF000000"/>
        <rFont val="Source Sans Pro"/>
        <family val="2"/>
      </rPr>
      <t>Laskelma kaavioille</t>
    </r>
  </si>
  <si>
    <t>B105:C111</t>
  </si>
  <si>
    <r>
      <rPr>
        <sz val="11"/>
        <color rgb="FF000000"/>
        <rFont val="Source Sans Pro"/>
        <family val="2"/>
      </rPr>
      <t>Indikaattoreiden muotoilu/laskenta</t>
    </r>
  </si>
  <si>
    <r>
      <rPr>
        <sz val="11"/>
        <color rgb="FF000000"/>
        <rFont val="Source Sans Pro"/>
        <family val="2"/>
      </rPr>
      <t>Ilmastotoimet</t>
    </r>
  </si>
  <si>
    <t>M18:R26</t>
  </si>
  <si>
    <r>
      <rPr>
        <sz val="11"/>
        <color rgb="FF000000"/>
        <rFont val="Source Sans Pro"/>
        <family val="2"/>
      </rPr>
      <t>Laskelmat kaavioon, mukaan lukien virheellisen alaluokan ohitus</t>
    </r>
  </si>
  <si>
    <r>
      <rPr>
        <sz val="11"/>
        <color rgb="FF000000"/>
        <rFont val="Source Sans Pro"/>
        <family val="2"/>
      </rPr>
      <t>Hankinta ja vaikutus</t>
    </r>
  </si>
  <si>
    <t>I37:K51</t>
  </si>
  <si>
    <r>
      <rPr>
        <sz val="11"/>
        <color rgb="FF000000"/>
        <rFont val="Source Sans Pro"/>
        <family val="2"/>
      </rPr>
      <t>Yksilöllinen tunnus + tarkista, täytetäänkö tiedot lisälaskentaa varten + asianmukaisen alaluokan valinnan tarkistus</t>
    </r>
  </si>
  <si>
    <t>P37:AD52</t>
  </si>
  <si>
    <r>
      <rPr>
        <sz val="11"/>
        <color rgb="FF000000"/>
        <rFont val="Source Sans Pro"/>
        <family val="2"/>
      </rPr>
      <t>Välilaskelmat kaaviolle</t>
    </r>
  </si>
  <si>
    <t>B174:F197</t>
  </si>
  <si>
    <r>
      <rPr>
        <sz val="11"/>
        <color rgb="FF000000"/>
        <rFont val="Source Sans Pro"/>
        <family val="2"/>
      </rPr>
      <t>Tulosruutujen teksti (lennot jne.)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</si>
</sst>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"/>
    <numFmt numFmtId="166" formatCode="#\ ##0"/>
    <numFmt numFmtId="167" formatCode="###\ ###\ ##0"/>
  </numFmts>
  <fonts count="89">
    <font>
      <sz val="11"/>
      <color theme="1"/>
      <name val="Source Sans Pro"/>
      <family val="2"/>
      <scheme val="minor"/>
    </font>
    <font>
      <sz val="11"/>
      <color theme="1"/>
      <name val="Source Serif"/>
      <family val="2"/>
    </font>
    <font>
      <b/>
      <sz val="11"/>
      <color theme="1"/>
      <name val="Source Sans Pro"/>
      <family val="2"/>
      <scheme val="minor"/>
    </font>
    <font>
      <sz val="9"/>
      <name val="Tahoma"/>
      <family val="2"/>
    </font>
    <font>
      <sz val="20"/>
      <color theme="1"/>
      <name val="Source Serif 4"/>
      <family val="1"/>
      <scheme val="major"/>
    </font>
    <font>
      <b/>
      <sz val="9"/>
      <name val="Tahoma"/>
      <family val="2"/>
    </font>
    <font>
      <i/>
      <sz val="11"/>
      <color theme="0" tint="-0.34995574816125979"/>
      <name val="Source Sans Pro"/>
      <family val="2"/>
      <scheme val="minor"/>
    </font>
    <font>
      <b/>
      <i/>
      <sz val="16"/>
      <color theme="0" tint="-0.34995574816125979"/>
      <name val="Source Sans Pro"/>
      <family val="2"/>
      <scheme val="minor"/>
    </font>
    <font>
      <b/>
      <sz val="16"/>
      <color theme="1"/>
      <name val="Source Sans Pro"/>
      <family val="2"/>
      <scheme val="minor"/>
    </font>
    <font>
      <sz val="11"/>
      <color rgb="FFFF0000"/>
      <name val="Source Sans Pro"/>
      <family val="2"/>
      <scheme val="minor"/>
    </font>
    <font>
      <sz val="11"/>
      <name val="Source Sans Pro"/>
      <family val="2"/>
      <scheme val="minor"/>
    </font>
    <font>
      <b/>
      <sz val="20"/>
      <color theme="9" tint="-0.49995422223578601"/>
      <name val="Source Sans Pro"/>
      <family val="2"/>
      <scheme val="minor"/>
    </font>
    <font>
      <sz val="16"/>
      <color theme="9" tint="-0.49995422223578601"/>
      <name val="Source Sans Pro"/>
      <family val="2"/>
      <scheme val="minor"/>
    </font>
    <font>
      <sz val="18"/>
      <color theme="0"/>
      <name val="Source Serif 4"/>
      <family val="1"/>
      <scheme val="major"/>
    </font>
    <font>
      <sz val="11"/>
      <color theme="0"/>
      <name val="Source Sans Pro"/>
      <family val="2"/>
      <scheme val="minor"/>
    </font>
    <font>
      <sz val="14"/>
      <color theme="0"/>
      <name val="Source Serif 4"/>
      <family val="1"/>
      <scheme val="major"/>
    </font>
    <font>
      <sz val="12"/>
      <color theme="0"/>
      <name val="Source Sans Pro"/>
      <family val="2"/>
      <scheme val="minor"/>
    </font>
    <font>
      <i/>
      <sz val="11"/>
      <color theme="2"/>
      <name val="Source Sans Pro"/>
      <family val="2"/>
      <scheme val="minor"/>
    </font>
    <font>
      <sz val="11"/>
      <color theme="9" tint="-0.49995422223578601"/>
      <name val="Source Sans Pro"/>
      <family val="2"/>
      <scheme val="minor"/>
    </font>
    <font>
      <b/>
      <sz val="16"/>
      <color theme="0"/>
      <name val="Source Sans Pro"/>
      <family val="2"/>
      <scheme val="minor"/>
    </font>
    <font>
      <i/>
      <sz val="12"/>
      <color theme="1"/>
      <name val="Source Sans Pro"/>
      <family val="2"/>
      <scheme val="minor"/>
    </font>
    <font>
      <i/>
      <sz val="11"/>
      <color theme="0"/>
      <name val="Source Sans Pro"/>
      <family val="2"/>
      <scheme val="minor"/>
    </font>
    <font>
      <b/>
      <i/>
      <sz val="11"/>
      <color theme="0"/>
      <name val="Source Sans Pro"/>
      <family val="2"/>
      <scheme val="minor"/>
    </font>
    <font>
      <b/>
      <i/>
      <sz val="16"/>
      <color theme="0"/>
      <name val="Source Sans Pro"/>
      <family val="2"/>
      <scheme val="minor"/>
    </font>
    <font>
      <b/>
      <sz val="40"/>
      <color theme="0"/>
      <name val="Source Sans Pro"/>
      <family val="2"/>
      <scheme val="minor"/>
    </font>
    <font>
      <sz val="18"/>
      <color theme="9" tint="-0.49995422223578601"/>
      <name val="Source Sans Pro"/>
      <family val="2"/>
      <scheme val="minor"/>
    </font>
    <font>
      <i/>
      <sz val="14"/>
      <color theme="2"/>
      <name val="Source Sans Pro"/>
      <family val="2"/>
      <scheme val="minor"/>
    </font>
    <font>
      <i/>
      <sz val="14"/>
      <color theme="9" tint="-0.49995422223578601"/>
      <name val="Source Sans Pro"/>
      <family val="2"/>
      <scheme val="minor"/>
    </font>
    <font>
      <u/>
      <sz val="11"/>
      <color theme="10"/>
      <name val="Source Sans Pro"/>
      <family val="2"/>
      <scheme val="minor"/>
    </font>
    <font>
      <i/>
      <sz val="16"/>
      <color theme="2" tint="-0.89996032593768116"/>
      <name val="Source Sans Pro"/>
      <family val="2"/>
      <scheme val="minor"/>
    </font>
    <font>
      <b/>
      <sz val="24"/>
      <color theme="9" tint="-0.49995422223578601"/>
      <name val="Source Sans Pro"/>
      <family val="2"/>
      <scheme val="minor"/>
    </font>
    <font>
      <sz val="20"/>
      <color theme="9" tint="-0.49995422223578601"/>
      <name val="Source Sans Pro"/>
      <family val="2"/>
      <scheme val="minor"/>
    </font>
    <font>
      <i/>
      <sz val="16"/>
      <color theme="0"/>
      <name val="Source Sans Pro"/>
      <family val="2"/>
      <scheme val="minor"/>
    </font>
    <font>
      <sz val="11"/>
      <color rgb="FFF8F8F8"/>
      <name val="Source Sans Pro"/>
      <family val="2"/>
      <scheme val="minor"/>
    </font>
    <font>
      <i/>
      <sz val="18"/>
      <color theme="9" tint="-0.49995422223578601"/>
      <name val="Source Sans Pro"/>
      <family val="2"/>
      <scheme val="minor"/>
    </font>
    <font>
      <b/>
      <sz val="16"/>
      <color rgb="FF002E48"/>
      <name val="Source Sans Pro"/>
      <family val="2"/>
      <scheme val="minor"/>
    </font>
    <font>
      <sz val="16"/>
      <color theme="1"/>
      <name val="Source Sans Pro"/>
      <family val="2"/>
      <scheme val="minor"/>
    </font>
    <font>
      <b/>
      <sz val="20"/>
      <color rgb="FFF8F8F8"/>
      <name val="Source Sans Pro"/>
      <family val="2"/>
      <scheme val="minor"/>
    </font>
    <font>
      <i/>
      <sz val="20"/>
      <color theme="1"/>
      <name val="Source Sans Pro"/>
      <family val="2"/>
      <scheme val="minor"/>
    </font>
    <font>
      <sz val="20"/>
      <color theme="1"/>
      <name val="Source Sans Pro"/>
      <family val="2"/>
      <scheme val="minor"/>
    </font>
    <font>
      <i/>
      <sz val="20"/>
      <color theme="1" tint="0.249977111117893"/>
      <name val="Source Sans Pro"/>
      <family val="2"/>
      <scheme val="minor"/>
    </font>
    <font>
      <i/>
      <sz val="20"/>
      <color rgb="FFF8F8F8"/>
      <name val="Source Sans Pro"/>
      <family val="2"/>
      <scheme val="minor"/>
    </font>
    <font>
      <sz val="11"/>
      <color rgb="FF00274A"/>
      <name val="Source Sans Pro"/>
      <family val="2"/>
      <scheme val="minor"/>
    </font>
    <font>
      <u/>
      <sz val="11"/>
      <color rgb="FF005082"/>
      <name val="Source Sans Pro"/>
      <family val="2"/>
      <scheme val="minor"/>
    </font>
    <font>
      <i/>
      <sz val="18"/>
      <color theme="7" tint="-0.24994659260841701"/>
      <name val="Source Sans Pro"/>
      <family val="2"/>
      <scheme val="minor"/>
    </font>
    <font>
      <b/>
      <sz val="22"/>
      <color theme="9" tint="-0.49995422223578601"/>
      <name val="Source Sans Pro"/>
      <family val="2"/>
      <scheme val="minor"/>
    </font>
    <font>
      <i/>
      <sz val="16"/>
      <color rgb="FFC00000"/>
      <name val="Source Sans Pro"/>
      <family val="2"/>
      <scheme val="minor"/>
    </font>
    <font>
      <sz val="14"/>
      <color theme="0"/>
      <name val="Source Sans Pro"/>
      <family val="2"/>
      <scheme val="minor"/>
    </font>
    <font>
      <i/>
      <sz val="14"/>
      <color theme="1"/>
      <name val="Source Sans Pro"/>
      <family val="2"/>
      <scheme val="minor"/>
    </font>
    <font>
      <b/>
      <sz val="11"/>
      <color rgb="FF000000"/>
      <name val="Source Sans Pro"/>
      <family val="2"/>
    </font>
    <font>
      <sz val="11"/>
      <color rgb="FF000000"/>
      <name val="Source Sans Pro"/>
      <family val="2"/>
    </font>
    <font>
      <u/>
      <sz val="11"/>
      <color rgb="FF005082"/>
      <name val="Source Sans Pro"/>
      <family val="2"/>
    </font>
    <font>
      <b/>
      <sz val="22"/>
      <color rgb="FF002E49"/>
      <name val="Source Sans Pro"/>
      <family val="2"/>
    </font>
    <font>
      <sz val="20"/>
      <color rgb="FF000000"/>
      <name val="Source Sans Pro"/>
      <family val="2"/>
    </font>
    <font>
      <b/>
      <i/>
      <sz val="16"/>
      <color rgb="FFFFFFFF"/>
      <name val="Source Sans Pro"/>
      <family val="2"/>
    </font>
    <font>
      <i/>
      <sz val="16"/>
      <color rgb="FFF6F6F6"/>
      <name val="Source Sans Pro"/>
      <family val="2"/>
    </font>
    <font>
      <i/>
      <sz val="14"/>
      <color rgb="FF000000"/>
      <name val="Source Sans Pro"/>
      <family val="2"/>
    </font>
    <font>
      <b/>
      <sz val="20"/>
      <color rgb="FF002E49"/>
      <name val="Source Sans Pro"/>
      <family val="2"/>
    </font>
    <font>
      <i/>
      <sz val="20"/>
      <color rgb="FF002E49"/>
      <name val="Source Sans Pro (Brødtekst)"/>
      <family val="2"/>
    </font>
    <font>
      <i/>
      <sz val="16"/>
      <color rgb="FFFFFFFF"/>
      <name val="Source Sans Pro"/>
      <family val="2"/>
    </font>
    <font>
      <b/>
      <sz val="20"/>
      <color rgb="FFF8F8F8"/>
      <name val="Source Sans Pro"/>
      <family val="2"/>
    </font>
    <font>
      <b/>
      <sz val="16"/>
      <color rgb="FFFFFFFF"/>
      <name val="Source Sans Pro"/>
      <family val="2"/>
    </font>
    <font>
      <sz val="20"/>
      <color rgb="FF002E49"/>
      <name val="Source Sans Pro"/>
      <family val="2"/>
    </font>
    <font>
      <i/>
      <sz val="18"/>
      <color rgb="FFFFFFFF"/>
      <name val="Source Sans Pro"/>
      <family val="2"/>
    </font>
    <font>
      <b/>
      <sz val="24"/>
      <color rgb="FF002E49"/>
      <name val="Source Sans Pro"/>
      <family val="2"/>
    </font>
    <font>
      <sz val="16"/>
      <color rgb="FF002E49"/>
      <name val="Source Sans Pro"/>
      <family val="2"/>
    </font>
    <font>
      <sz val="11"/>
      <color theme="1"/>
      <name val="Source Sans Pro"/>
      <family val="2"/>
      <scheme val="minor"/>
    </font>
    <font>
      <sz val="20"/>
      <color rgb="FFF8F8F8"/>
      <name val="Source Sans Pro"/>
      <family val="2"/>
      <scheme val="minor"/>
    </font>
    <font>
      <b/>
      <i/>
      <sz val="11"/>
      <color rgb="FFF8F8F8"/>
      <name val="Source Sans Pro"/>
      <family val="2"/>
      <scheme val="minor"/>
    </font>
    <font>
      <i/>
      <sz val="11"/>
      <color rgb="FFF8F8F8"/>
      <name val="Source Sans Pro"/>
      <family val="2"/>
      <scheme val="minor"/>
    </font>
    <font>
      <i/>
      <sz val="11"/>
      <color rgb="FFF8F8F8"/>
      <name val="Source Sans Pro"/>
      <family val="2"/>
    </font>
    <font>
      <b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</font>
    <font>
      <sz val="11"/>
      <color rgb="FFF8F8F8"/>
      <name val="Source Sans Pro"/>
      <family val="2"/>
    </font>
    <font>
      <b/>
      <sz val="16"/>
      <color theme="0"/>
      <name val="Source Sans Pro"/>
      <family val="2"/>
    </font>
    <font>
      <sz val="14"/>
      <color theme="0"/>
      <name val="Source Sans Pro"/>
      <family val="2"/>
    </font>
    <font>
      <sz val="11"/>
      <color rgb="FF000066"/>
      <name val="Source Sans Pro"/>
      <family val="2"/>
      <scheme val="minor"/>
    </font>
    <font>
      <sz val="11"/>
      <color rgb="FF00284B"/>
      <name val="Source Sans Pro"/>
      <family val="2"/>
      <scheme val="minor"/>
    </font>
    <font>
      <sz val="11"/>
      <color rgb="FF00284B"/>
      <name val="Source Sans Pro"/>
      <family val="2"/>
    </font>
    <font>
      <sz val="14"/>
      <color rgb="FF00284B"/>
      <name val="Source Sans Pro"/>
      <family val="2"/>
      <scheme val="minor"/>
    </font>
    <font>
      <sz val="14"/>
      <color rgb="FF00284B"/>
      <name val="Source Sans Pro"/>
      <family val="2"/>
    </font>
    <font>
      <b/>
      <sz val="16"/>
      <color rgb="FF00284B"/>
      <name val="Source Sans Pro"/>
      <family val="2"/>
      <scheme val="minor"/>
    </font>
    <font>
      <b/>
      <sz val="16"/>
      <color rgb="FF00284B"/>
      <name val="Source Sans Pro"/>
      <family val="2"/>
    </font>
    <font>
      <sz val="16"/>
      <color rgb="FFF8F8F8"/>
      <name val="Source Sans Pro"/>
      <family val="2"/>
      <scheme val="minor"/>
    </font>
    <font>
      <sz val="11"/>
      <color theme="0"/>
      <name val="Source Sans Pro"/>
      <family val="2"/>
    </font>
    <font>
      <b/>
      <i/>
      <sz val="16"/>
      <color rgb="FF00284B"/>
      <name val="Source Sans Pro"/>
      <family val="2"/>
      <scheme val="minor"/>
    </font>
    <font>
      <b/>
      <i/>
      <sz val="16"/>
      <color rgb="FF00284B"/>
      <name val="Source Sans Pro"/>
      <family val="2"/>
    </font>
    <font>
      <sz val="18"/>
      <color rgb="FF00284B"/>
      <name val="Source Sans Pro"/>
      <family val="2"/>
      <scheme val="minor"/>
    </font>
    <font>
      <sz val="11"/>
      <color rgb="FFEAEAEA"/>
      <name val="Source Sans Pro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-0.4999542222357860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FF0EC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E5F7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01294B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01284A"/>
        <bgColor indexed="64"/>
      </patternFill>
    </fill>
    <fill>
      <patternFill patternType="solid">
        <fgColor rgb="FFE5F8F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rgb="FF00284B"/>
        <bgColor indexed="64"/>
      </patternFill>
    </fill>
  </fills>
  <borders count="13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49995422223578601"/>
      </left>
      <right style="thin">
        <color theme="2" tint="-0.49995422223578601"/>
      </right>
      <top style="thin">
        <color theme="2" tint="-0.49995422223578601"/>
      </top>
      <bottom style="thin">
        <color theme="2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 style="thin">
        <color theme="0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/>
      <diagonal/>
    </border>
    <border>
      <left style="thin">
        <color theme="9" tint="-0.49995422223578601"/>
      </left>
      <right style="thin">
        <color theme="9" tint="-0.49995422223578601"/>
      </right>
      <top/>
      <bottom style="thin">
        <color theme="9" tint="-0.49995422223578601"/>
      </bottom>
      <diagonal/>
    </border>
    <border>
      <left style="thin">
        <color theme="9" tint="-0.49995422223578601"/>
      </left>
      <right/>
      <top style="thin">
        <color theme="9" tint="-0.49995422223578601"/>
      </top>
      <bottom style="thin">
        <color theme="9" tint="-0.49995422223578601"/>
      </bottom>
      <diagonal/>
    </border>
    <border>
      <left/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 style="thin">
        <color theme="0" tint="-0.49995422223578601"/>
      </bottom>
      <diagonal/>
    </border>
  </borders>
  <cellStyleXfs count="4">
    <xf numFmtId="0" fontId="0" fillId="0" borderId="0"/>
    <xf numFmtId="164" fontId="6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64" fontId="66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0" fillId="2" borderId="0" xfId="0" applyFill="1"/>
    <xf numFmtId="0" fontId="25" fillId="3" borderId="1" xfId="0" applyFont="1" applyFill="1" applyBorder="1" applyAlignment="1" applyProtection="1">
      <alignment horizontal="center" vertical="center"/>
      <protection locked="0"/>
    </xf>
    <xf numFmtId="0" fontId="0" fillId="4" borderId="0" xfId="0" applyFill="1"/>
    <xf numFmtId="0" fontId="0" fillId="5" borderId="0" xfId="0" applyFill="1"/>
    <xf numFmtId="0" fontId="31" fillId="3" borderId="1" xfId="0" applyFont="1" applyFill="1" applyBorder="1" applyAlignment="1" applyProtection="1">
      <alignment horizontal="center" vertical="center"/>
      <protection locked="0"/>
    </xf>
    <xf numFmtId="0" fontId="11" fillId="3" borderId="2" xfId="0" applyFont="1" applyFill="1" applyBorder="1" applyAlignment="1" applyProtection="1">
      <alignment horizontal="center" vertical="center"/>
      <protection locked="0"/>
    </xf>
    <xf numFmtId="0" fontId="39" fillId="6" borderId="3" xfId="0" applyFont="1" applyFill="1" applyBorder="1" applyAlignment="1" applyProtection="1">
      <alignment horizontal="left" indent="1"/>
      <protection locked="0"/>
    </xf>
    <xf numFmtId="0" fontId="39" fillId="3" borderId="3" xfId="0" applyFont="1" applyFill="1" applyBorder="1" applyAlignment="1" applyProtection="1">
      <alignment horizontal="left" indent="1"/>
      <protection locked="0"/>
    </xf>
    <xf numFmtId="0" fontId="39" fillId="7" borderId="4" xfId="0" applyFont="1" applyFill="1" applyBorder="1" applyAlignment="1">
      <alignment horizontal="left" vertical="center" indent="2"/>
    </xf>
    <xf numFmtId="0" fontId="4" fillId="8" borderId="0" xfId="0" applyFont="1" applyFill="1"/>
    <xf numFmtId="0" fontId="0" fillId="8" borderId="0" xfId="0" applyFill="1"/>
    <xf numFmtId="0" fontId="39" fillId="7" borderId="4" xfId="0" applyFont="1" applyFill="1" applyBorder="1" applyAlignment="1">
      <alignment horizontal="center" vertical="center"/>
    </xf>
    <xf numFmtId="165" fontId="39" fillId="7" borderId="4" xfId="0" applyNumberFormat="1" applyFont="1" applyFill="1" applyBorder="1" applyAlignment="1">
      <alignment horizontal="center" vertical="center"/>
    </xf>
    <xf numFmtId="0" fontId="43" fillId="2" borderId="0" xfId="2" applyFont="1" applyFill="1"/>
    <xf numFmtId="0" fontId="31" fillId="3" borderId="1" xfId="0" applyFont="1" applyFill="1" applyBorder="1" applyAlignment="1" applyProtection="1">
      <alignment horizontal="left" vertical="center" indent="1"/>
      <protection locked="0"/>
    </xf>
    <xf numFmtId="2" fontId="39" fillId="7" borderId="4" xfId="1" applyNumberFormat="1" applyFont="1" applyFill="1" applyBorder="1" applyAlignment="1">
      <alignment horizontal="center" vertical="center"/>
    </xf>
    <xf numFmtId="1" fontId="39" fillId="7" borderId="4" xfId="1" applyNumberFormat="1" applyFont="1" applyFill="1" applyBorder="1" applyAlignment="1">
      <alignment horizontal="center" vertical="center"/>
    </xf>
    <xf numFmtId="0" fontId="45" fillId="9" borderId="4" xfId="0" applyFont="1" applyFill="1" applyBorder="1" applyAlignment="1">
      <alignment horizontal="left" vertical="center" indent="1"/>
    </xf>
    <xf numFmtId="0" fontId="39" fillId="7" borderId="4" xfId="1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 applyProtection="1">
      <alignment horizontal="center" vertical="center" wrapText="1"/>
      <protection locked="0"/>
    </xf>
    <xf numFmtId="0" fontId="43" fillId="2" borderId="0" xfId="2" applyFont="1" applyFill="1" applyProtection="1"/>
    <xf numFmtId="0" fontId="0" fillId="2" borderId="0" xfId="0" applyFill="1" applyAlignment="1">
      <alignment horizontal="left" vertical="center" indent="1"/>
    </xf>
    <xf numFmtId="0" fontId="0" fillId="8" borderId="0" xfId="0" applyFill="1" applyAlignment="1">
      <alignment horizontal="left" vertical="center" indent="1"/>
    </xf>
    <xf numFmtId="0" fontId="0" fillId="4" borderId="0" xfId="0" applyFill="1" applyAlignment="1">
      <alignment horizontal="left" vertical="center" indent="1"/>
    </xf>
    <xf numFmtId="0" fontId="0" fillId="4" borderId="0" xfId="0" applyFill="1" applyAlignment="1">
      <alignment horizontal="left" vertical="center" indent="2"/>
    </xf>
    <xf numFmtId="0" fontId="18" fillId="4" borderId="0" xfId="0" applyFont="1" applyFill="1"/>
    <xf numFmtId="0" fontId="0" fillId="10" borderId="0" xfId="0" applyFill="1"/>
    <xf numFmtId="0" fontId="0" fillId="11" borderId="0" xfId="0" applyFill="1"/>
    <xf numFmtId="0" fontId="29" fillId="10" borderId="0" xfId="0" applyFont="1" applyFill="1"/>
    <xf numFmtId="0" fontId="30" fillId="10" borderId="0" xfId="0" applyFont="1" applyFill="1" applyAlignment="1">
      <alignment vertical="center"/>
    </xf>
    <xf numFmtId="0" fontId="8" fillId="10" borderId="0" xfId="0" applyFont="1" applyFill="1"/>
    <xf numFmtId="0" fontId="0" fillId="10" borderId="0" xfId="0" applyFill="1" applyAlignment="1">
      <alignment horizontal="center"/>
    </xf>
    <xf numFmtId="0" fontId="30" fillId="10" borderId="0" xfId="0" applyFont="1" applyFill="1" applyAlignment="1">
      <alignment horizontal="left"/>
    </xf>
    <xf numFmtId="0" fontId="8" fillId="10" borderId="0" xfId="0" applyFont="1" applyFill="1" applyAlignment="1">
      <alignment horizontal="left"/>
    </xf>
    <xf numFmtId="0" fontId="8" fillId="10" borderId="0" xfId="0" applyFont="1" applyFill="1" applyAlignment="1">
      <alignment horizontal="center"/>
    </xf>
    <xf numFmtId="0" fontId="25" fillId="5" borderId="1" xfId="0" applyFont="1" applyFill="1" applyBorder="1" applyAlignment="1">
      <alignment horizontal="left" vertical="center" indent="3"/>
    </xf>
    <xf numFmtId="0" fontId="0" fillId="10" borderId="0" xfId="0" applyFill="1" applyAlignment="1">
      <alignment vertical="center"/>
    </xf>
    <xf numFmtId="0" fontId="0" fillId="12" borderId="0" xfId="0" applyFill="1"/>
    <xf numFmtId="0" fontId="13" fillId="12" borderId="0" xfId="0" applyFont="1" applyFill="1" applyAlignment="1">
      <alignment horizontal="left" vertical="center"/>
    </xf>
    <xf numFmtId="0" fontId="14" fillId="12" borderId="0" xfId="0" applyFont="1" applyFill="1"/>
    <xf numFmtId="0" fontId="14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26" fillId="12" borderId="0" xfId="0" applyFont="1" applyFill="1"/>
    <xf numFmtId="0" fontId="15" fillId="12" borderId="0" xfId="0" applyFont="1" applyFill="1"/>
    <xf numFmtId="0" fontId="16" fillId="12" borderId="0" xfId="0" applyFont="1" applyFill="1" applyAlignment="1">
      <alignment vertical="center"/>
    </xf>
    <xf numFmtId="0" fontId="14" fillId="12" borderId="0" xfId="0" applyFont="1" applyFill="1" applyAlignment="1">
      <alignment wrapText="1"/>
    </xf>
    <xf numFmtId="0" fontId="32" fillId="12" borderId="0" xfId="0" applyFont="1" applyFill="1"/>
    <xf numFmtId="0" fontId="19" fillId="13" borderId="5" xfId="0" applyFont="1" applyFill="1" applyBorder="1" applyAlignment="1">
      <alignment horizontal="left" indent="1"/>
    </xf>
    <xf numFmtId="0" fontId="12" fillId="14" borderId="5" xfId="0" applyFont="1" applyFill="1" applyBorder="1" applyAlignment="1">
      <alignment horizontal="left" vertical="center" indent="1"/>
    </xf>
    <xf numFmtId="167" fontId="12" fillId="14" borderId="5" xfId="0" applyNumberFormat="1" applyFont="1" applyFill="1" applyBorder="1" applyAlignment="1">
      <alignment horizontal="center" vertical="center"/>
    </xf>
    <xf numFmtId="0" fontId="14" fillId="15" borderId="0" xfId="0" applyFont="1" applyFill="1"/>
    <xf numFmtId="0" fontId="0" fillId="15" borderId="0" xfId="0" applyFill="1"/>
    <xf numFmtId="0" fontId="9" fillId="4" borderId="0" xfId="0" applyFont="1" applyFill="1"/>
    <xf numFmtId="0" fontId="14" fillId="4" borderId="0" xfId="0" applyFont="1" applyFill="1"/>
    <xf numFmtId="0" fontId="31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0" fontId="44" fillId="4" borderId="0" xfId="0" applyFont="1" applyFill="1" applyAlignment="1">
      <alignment wrapText="1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/>
    </xf>
    <xf numFmtId="0" fontId="0" fillId="16" borderId="0" xfId="0" applyFill="1"/>
    <xf numFmtId="0" fontId="0" fillId="16" borderId="0" xfId="0" applyFill="1" applyAlignment="1">
      <alignment horizontal="left" vertical="center" indent="1"/>
    </xf>
    <xf numFmtId="0" fontId="4" fillId="4" borderId="0" xfId="0" applyFont="1" applyFill="1"/>
    <xf numFmtId="0" fontId="23" fillId="4" borderId="0" xfId="0" applyFont="1" applyFill="1" applyAlignment="1">
      <alignment horizontal="left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35" fillId="11" borderId="0" xfId="0" applyFont="1" applyFill="1" applyAlignment="1">
      <alignment horizontal="left" vertical="center"/>
    </xf>
    <xf numFmtId="0" fontId="27" fillId="11" borderId="0" xfId="0" applyFont="1" applyFill="1"/>
    <xf numFmtId="0" fontId="0" fillId="11" borderId="0" xfId="0" applyFill="1" applyAlignment="1">
      <alignment wrapText="1"/>
    </xf>
    <xf numFmtId="0" fontId="36" fillId="11" borderId="0" xfId="0" applyFont="1" applyFill="1"/>
    <xf numFmtId="0" fontId="46" fillId="11" borderId="0" xfId="0" applyFont="1" applyFill="1"/>
    <xf numFmtId="0" fontId="48" fillId="11" borderId="0" xfId="0" applyFont="1" applyFill="1"/>
    <xf numFmtId="0" fontId="14" fillId="11" borderId="0" xfId="0" applyFont="1" applyFill="1" applyAlignment="1">
      <alignment wrapText="1"/>
    </xf>
    <xf numFmtId="0" fontId="20" fillId="11" borderId="0" xfId="0" applyFont="1" applyFill="1"/>
    <xf numFmtId="0" fontId="11" fillId="4" borderId="3" xfId="0" applyFont="1" applyFill="1" applyBorder="1" applyAlignment="1">
      <alignment horizontal="left" indent="1"/>
    </xf>
    <xf numFmtId="0" fontId="11" fillId="4" borderId="3" xfId="0" applyFont="1" applyFill="1" applyBorder="1" applyAlignment="1">
      <alignment horizontal="left" wrapText="1" indent="1"/>
    </xf>
    <xf numFmtId="0" fontId="11" fillId="11" borderId="3" xfId="0" applyFont="1" applyFill="1" applyBorder="1" applyAlignment="1">
      <alignment horizontal="left" wrapText="1" indent="1"/>
    </xf>
    <xf numFmtId="166" fontId="40" fillId="17" borderId="3" xfId="0" applyNumberFormat="1" applyFont="1" applyFill="1" applyBorder="1" applyAlignment="1">
      <alignment horizontal="left" indent="1"/>
    </xf>
    <xf numFmtId="167" fontId="39" fillId="11" borderId="3" xfId="0" applyNumberFormat="1" applyFont="1" applyFill="1" applyBorder="1" applyAlignment="1">
      <alignment horizontal="left" indent="1"/>
    </xf>
    <xf numFmtId="167" fontId="38" fillId="11" borderId="3" xfId="0" applyNumberFormat="1" applyFont="1" applyFill="1" applyBorder="1" applyAlignment="1">
      <alignment horizontal="left" indent="1"/>
    </xf>
    <xf numFmtId="0" fontId="36" fillId="11" borderId="0" xfId="0" applyFont="1" applyFill="1" applyAlignment="1">
      <alignment horizontal="left" wrapText="1"/>
    </xf>
    <xf numFmtId="0" fontId="37" fillId="11" borderId="0" xfId="0" applyFont="1" applyFill="1"/>
    <xf numFmtId="0" fontId="41" fillId="11" borderId="0" xfId="0" applyFont="1" applyFill="1" applyAlignment="1">
      <alignment horizontal="center"/>
    </xf>
    <xf numFmtId="0" fontId="39" fillId="11" borderId="0" xfId="0" applyFont="1" applyFill="1" applyAlignment="1">
      <alignment horizontal="left" indent="1"/>
    </xf>
    <xf numFmtId="0" fontId="38" fillId="11" borderId="0" xfId="0" applyFont="1" applyFill="1" applyAlignment="1">
      <alignment horizontal="left" indent="1"/>
    </xf>
    <xf numFmtId="0" fontId="14" fillId="11" borderId="0" xfId="0" applyFont="1" applyFill="1"/>
    <xf numFmtId="0" fontId="33" fillId="11" borderId="0" xfId="0" applyFont="1" applyFill="1"/>
    <xf numFmtId="0" fontId="22" fillId="11" borderId="0" xfId="0" applyFont="1" applyFill="1" applyAlignment="1">
      <alignment horizontal="center"/>
    </xf>
    <xf numFmtId="1" fontId="22" fillId="11" borderId="0" xfId="0" applyNumberFormat="1" applyFont="1" applyFill="1" applyAlignment="1">
      <alignment horizontal="center"/>
    </xf>
    <xf numFmtId="0" fontId="21" fillId="11" borderId="0" xfId="0" applyFont="1" applyFill="1" applyAlignment="1">
      <alignment horizontal="center"/>
    </xf>
    <xf numFmtId="0" fontId="0" fillId="18" borderId="0" xfId="0" applyFill="1"/>
    <xf numFmtId="0" fontId="14" fillId="18" borderId="0" xfId="0" applyFont="1" applyFill="1"/>
    <xf numFmtId="0" fontId="24" fillId="18" borderId="0" xfId="0" applyFont="1" applyFill="1"/>
    <xf numFmtId="0" fontId="19" fillId="18" borderId="0" xfId="0" applyFont="1" applyFill="1"/>
    <xf numFmtId="1" fontId="14" fillId="18" borderId="0" xfId="0" applyNumberFormat="1" applyFont="1" applyFill="1"/>
    <xf numFmtId="0" fontId="17" fillId="12" borderId="0" xfId="0" applyFont="1" applyFill="1"/>
    <xf numFmtId="0" fontId="37" fillId="13" borderId="5" xfId="0" applyFont="1" applyFill="1" applyBorder="1" applyAlignment="1">
      <alignment horizontal="center"/>
    </xf>
    <xf numFmtId="0" fontId="31" fillId="14" borderId="5" xfId="0" applyFont="1" applyFill="1" applyBorder="1" applyAlignment="1">
      <alignment horizontal="left" vertical="center" indent="1"/>
    </xf>
    <xf numFmtId="167" fontId="31" fillId="14" borderId="5" xfId="0" applyNumberFormat="1" applyFont="1" applyFill="1" applyBorder="1" applyAlignment="1">
      <alignment horizontal="center" vertical="center"/>
    </xf>
    <xf numFmtId="0" fontId="42" fillId="18" borderId="0" xfId="0" applyFont="1" applyFill="1"/>
    <xf numFmtId="0" fontId="10" fillId="4" borderId="0" xfId="0" applyFont="1" applyFill="1"/>
    <xf numFmtId="0" fontId="22" fillId="4" borderId="0" xfId="0" applyFont="1" applyFill="1" applyAlignment="1">
      <alignment horizontal="center"/>
    </xf>
    <xf numFmtId="1" fontId="22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/>
    </xf>
    <xf numFmtId="0" fontId="10" fillId="11" borderId="0" xfId="0" applyFont="1" applyFill="1"/>
    <xf numFmtId="0" fontId="2" fillId="0" borderId="0" xfId="0" applyFont="1"/>
    <xf numFmtId="0" fontId="0" fillId="0" borderId="0" xfId="0" applyAlignment="1">
      <alignment horizontal="center"/>
    </xf>
    <xf numFmtId="0" fontId="0" fillId="9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50" fillId="0" borderId="0" xfId="0" applyFont="1" applyAlignment="1">
      <alignment horizontal="center"/>
    </xf>
    <xf numFmtId="0" fontId="57" fillId="11" borderId="3" xfId="0" applyFont="1" applyFill="1" applyBorder="1" applyAlignment="1">
      <alignment horizontal="left" wrapText="1" indent="1"/>
    </xf>
    <xf numFmtId="0" fontId="67" fillId="11" borderId="0" xfId="0" applyFont="1" applyFill="1"/>
    <xf numFmtId="0" fontId="68" fillId="11" borderId="0" xfId="0" applyFont="1" applyFill="1"/>
    <xf numFmtId="0" fontId="69" fillId="11" borderId="0" xfId="0" applyFont="1" applyFill="1" applyAlignment="1">
      <alignment horizontal="left"/>
    </xf>
    <xf numFmtId="0" fontId="71" fillId="11" borderId="0" xfId="0" applyFont="1" applyFill="1"/>
    <xf numFmtId="0" fontId="73" fillId="11" borderId="0" xfId="0" applyFont="1" applyFill="1"/>
    <xf numFmtId="0" fontId="41" fillId="11" borderId="0" xfId="0" applyFont="1" applyFill="1" applyAlignment="1">
      <alignment horizontal="left" indent="1"/>
    </xf>
    <xf numFmtId="0" fontId="33" fillId="11" borderId="0" xfId="0" applyFont="1" applyFill="1" applyAlignment="1">
      <alignment horizontal="center"/>
    </xf>
    <xf numFmtId="167" fontId="33" fillId="11" borderId="0" xfId="0" applyNumberFormat="1" applyFont="1" applyFill="1" applyAlignment="1">
      <alignment horizontal="center"/>
    </xf>
    <xf numFmtId="1" fontId="68" fillId="11" borderId="0" xfId="0" applyNumberFormat="1" applyFont="1" applyFill="1" applyAlignment="1">
      <alignment horizontal="center"/>
    </xf>
    <xf numFmtId="0" fontId="69" fillId="11" borderId="0" xfId="0" applyFont="1" applyFill="1" applyAlignment="1">
      <alignment horizontal="center"/>
    </xf>
    <xf numFmtId="0" fontId="68" fillId="11" borderId="0" xfId="0" applyFont="1" applyFill="1" applyAlignment="1">
      <alignment horizontal="center"/>
    </xf>
    <xf numFmtId="0" fontId="33" fillId="4" borderId="0" xfId="0" applyFont="1" applyFill="1"/>
    <xf numFmtId="0" fontId="19" fillId="4" borderId="0" xfId="0" applyFont="1" applyFill="1"/>
    <xf numFmtId="0" fontId="47" fillId="4" borderId="0" xfId="0" applyFont="1" applyFill="1" applyAlignment="1">
      <alignment horizontal="right"/>
    </xf>
    <xf numFmtId="1" fontId="47" fillId="4" borderId="0" xfId="0" applyNumberFormat="1" applyFont="1" applyFill="1" applyAlignment="1">
      <alignment horizontal="center"/>
    </xf>
    <xf numFmtId="0" fontId="47" fillId="4" borderId="0" xfId="0" applyFont="1" applyFill="1"/>
    <xf numFmtId="0" fontId="76" fillId="18" borderId="0" xfId="0" applyFont="1" applyFill="1"/>
    <xf numFmtId="0" fontId="77" fillId="18" borderId="0" xfId="0" applyFont="1" applyFill="1"/>
    <xf numFmtId="0" fontId="79" fillId="18" borderId="0" xfId="0" applyFont="1" applyFill="1" applyAlignment="1">
      <alignment horizontal="right"/>
    </xf>
    <xf numFmtId="1" fontId="79" fillId="18" borderId="0" xfId="0" applyNumberFormat="1" applyFont="1" applyFill="1" applyAlignment="1">
      <alignment horizontal="center"/>
    </xf>
    <xf numFmtId="0" fontId="79" fillId="18" borderId="0" xfId="0" applyFont="1" applyFill="1"/>
    <xf numFmtId="3" fontId="79" fillId="18" borderId="0" xfId="0" applyNumberFormat="1" applyFont="1" applyFill="1" applyAlignment="1">
      <alignment horizontal="center"/>
    </xf>
    <xf numFmtId="0" fontId="81" fillId="18" borderId="0" xfId="0" applyFont="1" applyFill="1"/>
    <xf numFmtId="0" fontId="83" fillId="11" borderId="0" xfId="0" applyFont="1" applyFill="1" applyAlignment="1">
      <alignment wrapText="1"/>
    </xf>
    <xf numFmtId="1" fontId="14" fillId="4" borderId="0" xfId="0" applyNumberFormat="1" applyFont="1" applyFill="1"/>
    <xf numFmtId="0" fontId="77" fillId="12" borderId="0" xfId="0" applyFont="1" applyFill="1"/>
    <xf numFmtId="0" fontId="85" fillId="12" borderId="0" xfId="0" applyFont="1" applyFill="1" applyAlignment="1">
      <alignment horizontal="left"/>
    </xf>
    <xf numFmtId="1" fontId="77" fillId="12" borderId="0" xfId="0" applyNumberFormat="1" applyFont="1" applyFill="1"/>
    <xf numFmtId="165" fontId="77" fillId="12" borderId="0" xfId="0" applyNumberFormat="1" applyFont="1" applyFill="1"/>
    <xf numFmtId="1" fontId="87" fillId="12" borderId="0" xfId="0" applyNumberFormat="1" applyFont="1" applyFill="1" applyAlignment="1">
      <alignment horizontal="center"/>
    </xf>
    <xf numFmtId="0" fontId="87" fillId="12" borderId="0" xfId="0" applyFont="1" applyFill="1" applyAlignment="1">
      <alignment horizontal="center"/>
    </xf>
    <xf numFmtId="0" fontId="77" fillId="15" borderId="0" xfId="0" applyFont="1" applyFill="1"/>
    <xf numFmtId="0" fontId="87" fillId="15" borderId="0" xfId="0" applyFont="1" applyFill="1" applyAlignment="1">
      <alignment horizontal="center"/>
    </xf>
    <xf numFmtId="2" fontId="87" fillId="15" borderId="0" xfId="0" applyNumberFormat="1" applyFont="1" applyFill="1" applyAlignment="1">
      <alignment horizontal="center"/>
    </xf>
    <xf numFmtId="0" fontId="61" fillId="13" borderId="5" xfId="0" applyFont="1" applyFill="1" applyBorder="1" applyAlignment="1">
      <alignment horizontal="left" indent="1"/>
    </xf>
    <xf numFmtId="0" fontId="88" fillId="11" borderId="0" xfId="0" applyFont="1" applyFill="1"/>
    <xf numFmtId="0" fontId="37" fillId="13" borderId="6" xfId="0" applyFont="1" applyFill="1" applyBorder="1" applyAlignment="1">
      <alignment horizontal="center"/>
    </xf>
    <xf numFmtId="0" fontId="37" fillId="13" borderId="7" xfId="0" applyFont="1" applyFill="1" applyBorder="1" applyAlignment="1">
      <alignment horizontal="center"/>
    </xf>
    <xf numFmtId="0" fontId="37" fillId="13" borderId="8" xfId="0" applyFont="1" applyFill="1" applyBorder="1" applyAlignment="1">
      <alignment horizontal="center"/>
    </xf>
    <xf numFmtId="0" fontId="37" fillId="13" borderId="9" xfId="0" applyFont="1" applyFill="1" applyBorder="1" applyAlignment="1">
      <alignment horizontal="center"/>
    </xf>
    <xf numFmtId="0" fontId="60" fillId="13" borderId="8" xfId="0" applyFont="1" applyFill="1" applyBorder="1" applyAlignment="1">
      <alignment horizontal="center"/>
    </xf>
    <xf numFmtId="0" fontId="53" fillId="7" borderId="10" xfId="0" applyFont="1" applyFill="1" applyBorder="1" applyAlignment="1">
      <alignment horizontal="left" vertical="center" indent="2"/>
    </xf>
    <xf numFmtId="0" fontId="39" fillId="7" borderId="11" xfId="0" applyFont="1" applyFill="1" applyBorder="1" applyAlignment="1">
      <alignment horizontal="left" vertical="center" indent="2"/>
    </xf>
    <xf numFmtId="0" fontId="39" fillId="7" borderId="12" xfId="0" applyFont="1" applyFill="1" applyBorder="1" applyAlignment="1">
      <alignment horizontal="left" vertical="center" indent="2"/>
    </xf>
    <xf numFmtId="0" fontId="39" fillId="7" borderId="4" xfId="0" applyFont="1" applyFill="1" applyBorder="1" applyAlignment="1">
      <alignment horizontal="left" vertical="center" indent="2"/>
    </xf>
    <xf numFmtId="0" fontId="39" fillId="7" borderId="10" xfId="0" applyFont="1" applyFill="1" applyBorder="1" applyAlignment="1">
      <alignment horizontal="left" vertical="center" indent="2"/>
    </xf>
    <xf numFmtId="0" fontId="0" fillId="4" borderId="0" xfId="0" applyFill="1" applyAlignment="1"/>
  </cellXfs>
  <cellStyles count="4">
    <cellStyle name="Hyperkobling" xfId="2" builtinId="8"/>
    <cellStyle name="Komma" xfId="1" builtinId="3"/>
    <cellStyle name="Komma 2" xfId="3" xr:uid="{00000000-0005-0000-0000-000007000000}"/>
    <cellStyle name="Normal" xfId="0" builtinId="0"/>
  </cellStyles>
  <dxfs count="3">
    <dxf>
      <fill>
        <patternFill>
          <bgColor theme="7" tint="0.79995117038483843"/>
        </patternFill>
      </fill>
    </dxf>
    <dxf>
      <font>
        <color rgb="FFF6F6F6"/>
      </font>
    </dxf>
    <dxf>
      <font>
        <color theme="0"/>
      </font>
    </dxf>
  </dxfs>
  <tableStyles count="0" defaultTableStyle="TableStyleMedium2" defaultPivotStyle="PivotStyleLight16"/>
  <colors>
    <mruColors>
      <color rgb="FFF8F8F8"/>
      <color rgb="FFEAEAEA"/>
      <color rgb="FF00284B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042024481307929"/>
          <c:y val="0.14649999999999999"/>
          <c:w val="0.76307973604079871"/>
          <c:h val="0.647249999999999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Ilmastojalanjälkesi!$K$92</c:f>
              <c:strCache>
                <c:ptCount val="1"/>
                <c:pt idx="0">
                  <c:v>Jalanjälki, vuodessa [kg CO2-ekv]</c:v>
                </c:pt>
              </c:strCache>
            </c:strRef>
          </c:tx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Ilmastojalanjälkesi!$J$93:$J$100</c:f>
              <c:strCache>
                <c:ptCount val="8"/>
                <c:pt idx="0">
                  <c:v>Tulostin </c:v>
                </c:pt>
                <c:pt idx="1">
                  <c:v>Reititin </c:v>
                </c:pt>
                <c:pt idx="2">
                  <c:v>Kokoushuoneen_näyttö </c:v>
                </c:pt>
                <c:pt idx="3">
                  <c:v>Tabletti </c:v>
                </c:pt>
                <c:pt idx="4">
                  <c:v>Matkapuhelin </c:v>
                </c:pt>
                <c:pt idx="5">
                  <c:v>Pöytätietokone </c:v>
                </c:pt>
                <c:pt idx="6">
                  <c:v>Kannettava_tietokone </c:v>
                </c:pt>
                <c:pt idx="7">
                  <c:v>Tietokoneen_näyttö </c:v>
                </c:pt>
              </c:strCache>
            </c:strRef>
          </c:cat>
          <c:val>
            <c:numRef>
              <c:f>Ilmastojalanjälkesi!$K$93:$K$100</c:f>
              <c:numCache>
                <c:formatCode>0</c:formatCode>
                <c:ptCount val="8"/>
                <c:pt idx="0">
                  <c:v>1E-4</c:v>
                </c:pt>
                <c:pt idx="1">
                  <c:v>9.8999999999999994E-5</c:v>
                </c:pt>
                <c:pt idx="2">
                  <c:v>9.7999999999999997E-5</c:v>
                </c:pt>
                <c:pt idx="3">
                  <c:v>9.7E-5</c:v>
                </c:pt>
                <c:pt idx="4">
                  <c:v>9.6000000000000002E-5</c:v>
                </c:pt>
                <c:pt idx="5">
                  <c:v>9.5000000000000005E-5</c:v>
                </c:pt>
                <c:pt idx="6">
                  <c:v>9.3999999999999994E-5</c:v>
                </c:pt>
                <c:pt idx="7">
                  <c:v>9.2999999999999997E-5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3-4B8B-83ED-B7FE729824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97852246"/>
        <c:axId val="197604502"/>
      </c:barChart>
      <c:catAx>
        <c:axId val="19785224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604502"/>
        <c:crosses val="autoZero"/>
        <c:auto val="1"/>
        <c:lblAlgn val="ctr"/>
        <c:lblOffset val="100"/>
        <c:tickLblSkip val="1"/>
        <c:noMultiLvlLbl val="0"/>
      </c:catAx>
      <c:valAx>
        <c:axId val="19760450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978522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'[1]Tiltaksvelger - design M'!#REF!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6350">
          <a:noFill/>
        </a:ln>
        <a:effectLst/>
      </c:spPr>
      <c:txPr>
        <a:bodyPr rot="0" vert="horz" wrap="square"/>
        <a:lstStyle/>
        <a:p>
          <a:pPr>
            <a:defRPr lang="en-US" sz="2800" b="0" i="0" u="none" kern="1200" spc="0" baseline="0">
              <a:solidFill>
                <a:schemeClr val="bg1">
                  <a:lumMod val="9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'[1]Tiltaksvelger - design 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A18-4858-9488-5B94B5CFE1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958065732"/>
        <c:axId val="1552907317"/>
      </c:barChart>
      <c:catAx>
        <c:axId val="9580657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2907317"/>
        <c:crosses val="autoZero"/>
        <c:auto val="1"/>
        <c:lblAlgn val="ctr"/>
        <c:lblOffset val="100"/>
        <c:noMultiLvlLbl val="0"/>
      </c:catAx>
      <c:valAx>
        <c:axId val="155290731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80657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/>
            </a:pPr>
            <a:r>
              <a:rPr lang="en-US" sz="2400" b="1" i="0" u="none" baseline="0">
                <a:solidFill>
                  <a:srgbClr val="002E49"/>
                </a:solidFill>
                <a:latin typeface="Source Sans Pro"/>
                <a:ea typeface="Source Sans Pro"/>
                <a:cs typeface="Source Sans Pro"/>
              </a:rPr>
              <a:t>Ilmastojalanjälki vuodessa yksikköä kohden kg CO2-ekv</a:t>
            </a:r>
          </a:p>
        </c:rich>
      </c:tx>
      <c:layout>
        <c:manualLayout>
          <c:xMode val="edge"/>
          <c:yMode val="edge"/>
          <c:x val="0.30249999999999999"/>
          <c:y val="9.75E-3"/>
        </c:manualLayout>
      </c:layout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4E-2"/>
          <c:y val="0.15825"/>
          <c:w val="0.97199999999999998"/>
          <c:h val="0.701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Ilmastotoimet!$Q$18</c:f>
              <c:strCache>
                <c:ptCount val="1"/>
                <c:pt idx="0">
                  <c:v>Ilmastojalanjälki vuodessa yksikköä kohden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6A6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ED-4A28-9B99-7611923F4625}"/>
              </c:ext>
            </c:extLst>
          </c:dPt>
          <c:dPt>
            <c:idx val="1"/>
            <c:invertIfNegative val="0"/>
            <c:bubble3D val="0"/>
            <c:spPr>
              <a:solidFill>
                <a:srgbClr val="99DDCE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ED-4A28-9B99-7611923F4625}"/>
              </c:ext>
            </c:extLst>
          </c:dPt>
          <c:dPt>
            <c:idx val="2"/>
            <c:invertIfNegative val="0"/>
            <c:bubble3D val="0"/>
            <c:spPr>
              <a:solidFill>
                <a:srgbClr val="00AA83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ED-4A28-9B99-7611923F4625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n-US" sz="1800" b="1" i="0" u="non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Ilmastotoimet!$P$19:$P$23</c:f>
              <c:strCache>
                <c:ptCount val="5"/>
                <c:pt idx="0">
                  <c:v>Ei mitään – uuden ostaminen</c:v>
                </c:pt>
                <c:pt idx="1">
                  <c:v>Uuden ostaminen laajennetulla takuulla</c:v>
                </c:pt>
                <c:pt idx="2">
                  <c:v>Käytettynä ostaminen</c:v>
                </c:pt>
                <c:pt idx="3">
                  <c:v>Korjaus</c:v>
                </c:pt>
                <c:pt idx="4">
                  <c:v>Sisäinen uudelleenkäyttö</c:v>
                </c:pt>
              </c:strCache>
            </c:strRef>
          </c:cat>
          <c:val>
            <c:numRef>
              <c:f>Ilmastotoimet!$Q$19:$Q$23</c:f>
              <c:numCache>
                <c:formatCode>0</c:formatCode>
                <c:ptCount val="5"/>
                <c:pt idx="0">
                  <c:v>74.400000000000006</c:v>
                </c:pt>
                <c:pt idx="1">
                  <c:v>62</c:v>
                </c:pt>
                <c:pt idx="2">
                  <c:v>13.95</c:v>
                </c:pt>
                <c:pt idx="3">
                  <c:v>15.942857142857141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D7-4FED-819E-C5D151F6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50494"/>
        <c:axId val="850064563"/>
      </c:barChart>
      <c:catAx>
        <c:axId val="1645049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064563"/>
        <c:crosses val="autoZero"/>
        <c:auto val="1"/>
        <c:lblAlgn val="ctr"/>
        <c:lblOffset val="100"/>
        <c:noMultiLvlLbl val="0"/>
      </c:catAx>
      <c:valAx>
        <c:axId val="850064563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6450494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sz="1400" u="none" baseline="0">
          <a:solidFill>
            <a:schemeClr val="accent6">
              <a:lumMod val="50000"/>
            </a:schemeClr>
          </a:solidFill>
          <a:latin typeface="Source Sans Pro"/>
          <a:ea typeface="Source Sans Pro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20435527374479E-2"/>
          <c:y val="9.7000000000000003E-2"/>
          <c:w val="0.84153324219415437"/>
          <c:h val="0.75695073652572753"/>
        </c:manualLayout>
      </c:layout>
      <c:barChart>
        <c:barDir val="col"/>
        <c:grouping val="clustered"/>
        <c:varyColors val="0"/>
        <c:ser>
          <c:idx val="0"/>
          <c:order val="0"/>
          <c:tx>
            <c:v>Jos kaikki ostetaan uutena</c:v>
          </c:tx>
          <c:spPr>
            <a:solidFill>
              <a:schemeClr val="bg2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'Hankinta ja vaikutus'!$AB$38:$AB$51</c:f>
              <c:numCache>
                <c:formatCode>General</c:formatCode>
                <c:ptCount val="14"/>
              </c:numCache>
            </c:numRef>
          </c:cat>
          <c:val>
            <c:numRef>
              <c:f>'Hankinta ja vaikutus'!$AC$38:$AC$51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0-5675-4F51-A805-39E510635A49}"/>
            </c:ext>
          </c:extLst>
        </c:ser>
        <c:ser>
          <c:idx val="1"/>
          <c:order val="1"/>
          <c:tx>
            <c:v>Toimenpiteet</c:v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'Hankinta ja vaikutus'!$AB$38:$AB$51</c:f>
              <c:numCache>
                <c:formatCode>General</c:formatCode>
                <c:ptCount val="14"/>
              </c:numCache>
            </c:numRef>
          </c:cat>
          <c:val>
            <c:numRef>
              <c:f>'Hankinta ja vaikutus'!$AD$38:$AD$51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2-5675-4F51-A805-39E510635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1"/>
        <c:axId val="1555846766"/>
        <c:axId val="2071328536"/>
      </c:barChart>
      <c:catAx>
        <c:axId val="155584676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328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32853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555846766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40126677048336"/>
          <c:w val="7.2093741960126231E-2"/>
          <c:h val="0.31270122174747017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8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sz="1200" u="none" baseline="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svg"/><Relationship Id="rId13" Type="http://schemas.openxmlformats.org/officeDocument/2006/relationships/image" Target="../media/image9.png"/><Relationship Id="rId18" Type="http://schemas.openxmlformats.org/officeDocument/2006/relationships/image" Target="../media/image14.svg"/><Relationship Id="rId26" Type="http://schemas.openxmlformats.org/officeDocument/2006/relationships/hyperlink" Target="#'Hankinta ja vaikutus'!A1"/><Relationship Id="rId3" Type="http://schemas.openxmlformats.org/officeDocument/2006/relationships/image" Target="../media/image2.svg"/><Relationship Id="rId21" Type="http://schemas.openxmlformats.org/officeDocument/2006/relationships/hyperlink" Target="https://anskaffelser.no/form/kontaktskjemaet" TargetMode="External"/><Relationship Id="rId7" Type="http://schemas.openxmlformats.org/officeDocument/2006/relationships/image" Target="../media/image5.png"/><Relationship Id="rId12" Type="http://schemas.openxmlformats.org/officeDocument/2006/relationships/image" Target="../media/image8.svg"/><Relationship Id="rId17" Type="http://schemas.openxmlformats.org/officeDocument/2006/relationships/image" Target="../media/image13.png"/><Relationship Id="rId25" Type="http://schemas.openxmlformats.org/officeDocument/2006/relationships/hyperlink" Target="#Ilmastotoimet!A1"/><Relationship Id="rId2" Type="http://schemas.openxmlformats.org/officeDocument/2006/relationships/image" Target="../media/image1.png"/><Relationship Id="rId16" Type="http://schemas.openxmlformats.org/officeDocument/2006/relationships/image" Target="../media/image12.svg"/><Relationship Id="rId20" Type="http://schemas.openxmlformats.org/officeDocument/2006/relationships/image" Target="../media/image16.svg"/><Relationship Id="rId1" Type="http://schemas.openxmlformats.org/officeDocument/2006/relationships/hyperlink" Target="#Ilmastojalanj&#228;lkesi!A1"/><Relationship Id="rId6" Type="http://schemas.openxmlformats.org/officeDocument/2006/relationships/image" Target="../media/image4.svg"/><Relationship Id="rId11" Type="http://schemas.openxmlformats.org/officeDocument/2006/relationships/image" Target="../media/image7.png"/><Relationship Id="rId24" Type="http://schemas.openxmlformats.org/officeDocument/2006/relationships/image" Target="../media/image18.svg"/><Relationship Id="rId5" Type="http://schemas.openxmlformats.org/officeDocument/2006/relationships/image" Target="../media/image3.png"/><Relationship Id="rId15" Type="http://schemas.openxmlformats.org/officeDocument/2006/relationships/image" Target="../media/image11.png"/><Relationship Id="rId23" Type="http://schemas.openxmlformats.org/officeDocument/2006/relationships/image" Target="../media/image17.png"/><Relationship Id="rId10" Type="http://schemas.openxmlformats.org/officeDocument/2006/relationships/hyperlink" Target="#'Tietojen perusta'!A1"/><Relationship Id="rId19" Type="http://schemas.openxmlformats.org/officeDocument/2006/relationships/image" Target="../media/image15.png"/><Relationship Id="rId4" Type="http://schemas.openxmlformats.org/officeDocument/2006/relationships/hyperlink" Target="#Johdanto!A1"/><Relationship Id="rId9" Type="http://schemas.openxmlformats.org/officeDocument/2006/relationships/hyperlink" Target="https://anskaffelser.no/verktoy/analyseverktoy/effektkalkulator-ikt-anskaffelser" TargetMode="External"/><Relationship Id="rId14" Type="http://schemas.openxmlformats.org/officeDocument/2006/relationships/image" Target="../media/image10.svg"/><Relationship Id="rId22" Type="http://schemas.openxmlformats.org/officeDocument/2006/relationships/hyperlink" Target="https://anskaffelser.no/hva-skal-du-kjope/it/it-utstyr/miljohensyn-ved-kjop-av-it-utstyr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svg"/><Relationship Id="rId13" Type="http://schemas.openxmlformats.org/officeDocument/2006/relationships/image" Target="../media/image28.svg"/><Relationship Id="rId18" Type="http://schemas.openxmlformats.org/officeDocument/2006/relationships/hyperlink" Target="https://anskaffelser.no/verktoy/analyseverktoy/effektkalkulator-ikt-anskaffelser" TargetMode="External"/><Relationship Id="rId26" Type="http://schemas.openxmlformats.org/officeDocument/2006/relationships/hyperlink" Target="#Ilmastojalanj&#228;lkesi!A1"/><Relationship Id="rId3" Type="http://schemas.openxmlformats.org/officeDocument/2006/relationships/image" Target="../media/image20.svg"/><Relationship Id="rId21" Type="http://schemas.openxmlformats.org/officeDocument/2006/relationships/image" Target="../media/image2.svg"/><Relationship Id="rId7" Type="http://schemas.openxmlformats.org/officeDocument/2006/relationships/image" Target="../media/image23.png"/><Relationship Id="rId12" Type="http://schemas.openxmlformats.org/officeDocument/2006/relationships/image" Target="../media/image27.png"/><Relationship Id="rId17" Type="http://schemas.openxmlformats.org/officeDocument/2006/relationships/image" Target="../media/image6.svg"/><Relationship Id="rId25" Type="http://schemas.openxmlformats.org/officeDocument/2006/relationships/image" Target="../media/image34.svg"/><Relationship Id="rId2" Type="http://schemas.openxmlformats.org/officeDocument/2006/relationships/image" Target="../media/image19.png"/><Relationship Id="rId16" Type="http://schemas.openxmlformats.org/officeDocument/2006/relationships/image" Target="../media/image5.png"/><Relationship Id="rId20" Type="http://schemas.openxmlformats.org/officeDocument/2006/relationships/image" Target="../media/image1.png"/><Relationship Id="rId29" Type="http://schemas.openxmlformats.org/officeDocument/2006/relationships/hyperlink" Target="#Johdanto!A1"/><Relationship Id="rId1" Type="http://schemas.openxmlformats.org/officeDocument/2006/relationships/chart" Target="../charts/chart1.xml"/><Relationship Id="rId6" Type="http://schemas.openxmlformats.org/officeDocument/2006/relationships/hyperlink" Target="#Ilmastojalanj&#228;lkesi!A37"/><Relationship Id="rId11" Type="http://schemas.openxmlformats.org/officeDocument/2006/relationships/image" Target="../media/image26.svg"/><Relationship Id="rId24" Type="http://schemas.openxmlformats.org/officeDocument/2006/relationships/image" Target="../media/image33.png"/><Relationship Id="rId5" Type="http://schemas.openxmlformats.org/officeDocument/2006/relationships/image" Target="../media/image22.svg"/><Relationship Id="rId15" Type="http://schemas.openxmlformats.org/officeDocument/2006/relationships/image" Target="../media/image30.svg"/><Relationship Id="rId23" Type="http://schemas.openxmlformats.org/officeDocument/2006/relationships/image" Target="../media/image32.svg"/><Relationship Id="rId28" Type="http://schemas.openxmlformats.org/officeDocument/2006/relationships/hyperlink" Target="#'Hankinta ja vaikutus'!A1"/><Relationship Id="rId10" Type="http://schemas.openxmlformats.org/officeDocument/2006/relationships/image" Target="../media/image25.png"/><Relationship Id="rId19" Type="http://schemas.openxmlformats.org/officeDocument/2006/relationships/hyperlink" Target="#'Tietojen perusta'!A1"/><Relationship Id="rId31" Type="http://schemas.openxmlformats.org/officeDocument/2006/relationships/image" Target="../media/image4.svg"/><Relationship Id="rId4" Type="http://schemas.openxmlformats.org/officeDocument/2006/relationships/image" Target="../media/image21.png"/><Relationship Id="rId9" Type="http://schemas.openxmlformats.org/officeDocument/2006/relationships/hyperlink" Target="#Ilmastojalanj&#228;lkesi!A78"/><Relationship Id="rId14" Type="http://schemas.openxmlformats.org/officeDocument/2006/relationships/image" Target="../media/image29.png"/><Relationship Id="rId22" Type="http://schemas.openxmlformats.org/officeDocument/2006/relationships/image" Target="../media/image31.png"/><Relationship Id="rId27" Type="http://schemas.openxmlformats.org/officeDocument/2006/relationships/hyperlink" Target="#Ilmastotoimet!A1"/><Relationship Id="rId30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anskaffelser.no/verktoy/analyseverktoy/effektkalkulator-ikt-anskaffelser" TargetMode="External"/><Relationship Id="rId13" Type="http://schemas.openxmlformats.org/officeDocument/2006/relationships/image" Target="../media/image8.svg"/><Relationship Id="rId18" Type="http://schemas.openxmlformats.org/officeDocument/2006/relationships/hyperlink" Target="#Ilmastojalanj&#228;lkesi!A1"/><Relationship Id="rId3" Type="http://schemas.openxmlformats.org/officeDocument/2006/relationships/image" Target="../media/image36.svg"/><Relationship Id="rId21" Type="http://schemas.openxmlformats.org/officeDocument/2006/relationships/hyperlink" Target="#Johdanto!A1"/><Relationship Id="rId7" Type="http://schemas.openxmlformats.org/officeDocument/2006/relationships/image" Target="../media/image6.svg"/><Relationship Id="rId12" Type="http://schemas.openxmlformats.org/officeDocument/2006/relationships/image" Target="../media/image7.png"/><Relationship Id="rId17" Type="http://schemas.openxmlformats.org/officeDocument/2006/relationships/chart" Target="../charts/chart3.xml"/><Relationship Id="rId2" Type="http://schemas.openxmlformats.org/officeDocument/2006/relationships/image" Target="../media/image35.png"/><Relationship Id="rId16" Type="http://schemas.openxmlformats.org/officeDocument/2006/relationships/image" Target="../media/image18.svg"/><Relationship Id="rId20" Type="http://schemas.openxmlformats.org/officeDocument/2006/relationships/hyperlink" Target="#'Hankinta ja vaikutus'!A1"/><Relationship Id="rId1" Type="http://schemas.openxmlformats.org/officeDocument/2006/relationships/chart" Target="../charts/chart2.xml"/><Relationship Id="rId6" Type="http://schemas.openxmlformats.org/officeDocument/2006/relationships/image" Target="../media/image5.png"/><Relationship Id="rId11" Type="http://schemas.openxmlformats.org/officeDocument/2006/relationships/image" Target="../media/image2.svg"/><Relationship Id="rId5" Type="http://schemas.openxmlformats.org/officeDocument/2006/relationships/image" Target="../media/image38.svg"/><Relationship Id="rId15" Type="http://schemas.openxmlformats.org/officeDocument/2006/relationships/image" Target="../media/image17.png"/><Relationship Id="rId23" Type="http://schemas.openxmlformats.org/officeDocument/2006/relationships/image" Target="../media/image4.svg"/><Relationship Id="rId10" Type="http://schemas.openxmlformats.org/officeDocument/2006/relationships/image" Target="../media/image1.png"/><Relationship Id="rId19" Type="http://schemas.openxmlformats.org/officeDocument/2006/relationships/hyperlink" Target="#Ilmastotoimet!A1"/><Relationship Id="rId4" Type="http://schemas.openxmlformats.org/officeDocument/2006/relationships/image" Target="../media/image37.png"/><Relationship Id="rId9" Type="http://schemas.openxmlformats.org/officeDocument/2006/relationships/hyperlink" Target="#'Tietojen perusta'!A1"/><Relationship Id="rId14" Type="http://schemas.openxmlformats.org/officeDocument/2006/relationships/hyperlink" Target="https://anskaffelser.no/hva-skal-du-kjope/it/it-utstyr/miljohensyn-ved-kjop-av-it-utstyr" TargetMode="External"/><Relationship Id="rId22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hyperlink" Target="#'Tietojen perusta'!A1"/><Relationship Id="rId26" Type="http://schemas.openxmlformats.org/officeDocument/2006/relationships/image" Target="../media/image19.png"/><Relationship Id="rId3" Type="http://schemas.openxmlformats.org/officeDocument/2006/relationships/hyperlink" Target="#'Innkj&#248;p &amp; effekt'!A49"/><Relationship Id="rId21" Type="http://schemas.openxmlformats.org/officeDocument/2006/relationships/image" Target="../media/image7.png"/><Relationship Id="rId7" Type="http://schemas.openxmlformats.org/officeDocument/2006/relationships/image" Target="../media/image27.png"/><Relationship Id="rId12" Type="http://schemas.openxmlformats.org/officeDocument/2006/relationships/image" Target="../media/image40.svg"/><Relationship Id="rId17" Type="http://schemas.openxmlformats.org/officeDocument/2006/relationships/hyperlink" Target="https://anskaffelser.no/verktoy/analyseverktoy/effektkalkulator-ikt-anskaffelser" TargetMode="External"/><Relationship Id="rId25" Type="http://schemas.openxmlformats.org/officeDocument/2006/relationships/chart" Target="../charts/chart4.xml"/><Relationship Id="rId33" Type="http://schemas.openxmlformats.org/officeDocument/2006/relationships/image" Target="../media/image4.svg"/><Relationship Id="rId2" Type="http://schemas.openxmlformats.org/officeDocument/2006/relationships/image" Target="../media/image34.svg"/><Relationship Id="rId16" Type="http://schemas.openxmlformats.org/officeDocument/2006/relationships/image" Target="../media/image6.svg"/><Relationship Id="rId20" Type="http://schemas.openxmlformats.org/officeDocument/2006/relationships/image" Target="../media/image2.svg"/><Relationship Id="rId29" Type="http://schemas.openxmlformats.org/officeDocument/2006/relationships/hyperlink" Target="#Ilmastotoimet!A1"/><Relationship Id="rId1" Type="http://schemas.openxmlformats.org/officeDocument/2006/relationships/image" Target="../media/image33.png"/><Relationship Id="rId6" Type="http://schemas.openxmlformats.org/officeDocument/2006/relationships/hyperlink" Target="#'Innkj&#248;p &amp; effekt'!A99"/><Relationship Id="rId11" Type="http://schemas.openxmlformats.org/officeDocument/2006/relationships/image" Target="../media/image39.png"/><Relationship Id="rId24" Type="http://schemas.openxmlformats.org/officeDocument/2006/relationships/image" Target="../media/image36.svg"/><Relationship Id="rId32" Type="http://schemas.openxmlformats.org/officeDocument/2006/relationships/image" Target="../media/image3.png"/><Relationship Id="rId5" Type="http://schemas.openxmlformats.org/officeDocument/2006/relationships/image" Target="../media/image24.svg"/><Relationship Id="rId15" Type="http://schemas.openxmlformats.org/officeDocument/2006/relationships/image" Target="../media/image5.png"/><Relationship Id="rId23" Type="http://schemas.openxmlformats.org/officeDocument/2006/relationships/image" Target="../media/image35.png"/><Relationship Id="rId28" Type="http://schemas.openxmlformats.org/officeDocument/2006/relationships/hyperlink" Target="#Ilmastojalanj&#228;lkesi!A1"/><Relationship Id="rId10" Type="http://schemas.openxmlformats.org/officeDocument/2006/relationships/image" Target="../media/image26.svg"/><Relationship Id="rId19" Type="http://schemas.openxmlformats.org/officeDocument/2006/relationships/image" Target="../media/image1.png"/><Relationship Id="rId31" Type="http://schemas.openxmlformats.org/officeDocument/2006/relationships/hyperlink" Target="#Johdanto!A1"/><Relationship Id="rId4" Type="http://schemas.openxmlformats.org/officeDocument/2006/relationships/image" Target="../media/image23.png"/><Relationship Id="rId9" Type="http://schemas.openxmlformats.org/officeDocument/2006/relationships/image" Target="../media/image25.png"/><Relationship Id="rId14" Type="http://schemas.openxmlformats.org/officeDocument/2006/relationships/image" Target="../media/image30.svg"/><Relationship Id="rId22" Type="http://schemas.openxmlformats.org/officeDocument/2006/relationships/image" Target="../media/image8.svg"/><Relationship Id="rId27" Type="http://schemas.openxmlformats.org/officeDocument/2006/relationships/image" Target="../media/image20.svg"/><Relationship Id="rId30" Type="http://schemas.openxmlformats.org/officeDocument/2006/relationships/hyperlink" Target="#'Hankinta ja vaikutus'!A1"/><Relationship Id="rId8" Type="http://schemas.openxmlformats.org/officeDocument/2006/relationships/image" Target="../media/image28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7.png"/><Relationship Id="rId18" Type="http://schemas.openxmlformats.org/officeDocument/2006/relationships/image" Target="../media/image44.svg"/><Relationship Id="rId3" Type="http://schemas.openxmlformats.org/officeDocument/2006/relationships/image" Target="../media/image15.png"/><Relationship Id="rId21" Type="http://schemas.openxmlformats.org/officeDocument/2006/relationships/hyperlink" Target="#'Hankinta ja vaikutus'!A1"/><Relationship Id="rId7" Type="http://schemas.openxmlformats.org/officeDocument/2006/relationships/image" Target="../media/image2.svg"/><Relationship Id="rId12" Type="http://schemas.openxmlformats.org/officeDocument/2006/relationships/hyperlink" Target="https://anskaffelser.no/verktoy/analyseverktoy/effektkalkulator-ikt-anskaffelser" TargetMode="External"/><Relationship Id="rId17" Type="http://schemas.openxmlformats.org/officeDocument/2006/relationships/image" Target="../media/image43.png"/><Relationship Id="rId25" Type="http://schemas.openxmlformats.org/officeDocument/2006/relationships/image" Target="../media/image4.svg"/><Relationship Id="rId2" Type="http://schemas.openxmlformats.org/officeDocument/2006/relationships/image" Target="../media/image12.svg"/><Relationship Id="rId16" Type="http://schemas.openxmlformats.org/officeDocument/2006/relationships/image" Target="../media/image14.svg"/><Relationship Id="rId20" Type="http://schemas.openxmlformats.org/officeDocument/2006/relationships/hyperlink" Target="#Ilmastotoimet!A1"/><Relationship Id="rId1" Type="http://schemas.openxmlformats.org/officeDocument/2006/relationships/image" Target="../media/image11.png"/><Relationship Id="rId6" Type="http://schemas.openxmlformats.org/officeDocument/2006/relationships/image" Target="../media/image1.png"/><Relationship Id="rId11" Type="http://schemas.openxmlformats.org/officeDocument/2006/relationships/image" Target="../media/image6.svg"/><Relationship Id="rId24" Type="http://schemas.openxmlformats.org/officeDocument/2006/relationships/image" Target="../media/image3.png"/><Relationship Id="rId5" Type="http://schemas.openxmlformats.org/officeDocument/2006/relationships/hyperlink" Target="https://anskaffelser.no/form/kontaktskjemaet" TargetMode="External"/><Relationship Id="rId15" Type="http://schemas.openxmlformats.org/officeDocument/2006/relationships/image" Target="../media/image13.png"/><Relationship Id="rId23" Type="http://schemas.openxmlformats.org/officeDocument/2006/relationships/hyperlink" Target="#Johdanto!A1"/><Relationship Id="rId10" Type="http://schemas.openxmlformats.org/officeDocument/2006/relationships/image" Target="../media/image5.png"/><Relationship Id="rId19" Type="http://schemas.openxmlformats.org/officeDocument/2006/relationships/hyperlink" Target="#Ilmastojalanj&#228;lkesi!A1"/><Relationship Id="rId4" Type="http://schemas.openxmlformats.org/officeDocument/2006/relationships/image" Target="../media/image16.svg"/><Relationship Id="rId9" Type="http://schemas.openxmlformats.org/officeDocument/2006/relationships/image" Target="../media/image42.svg"/><Relationship Id="rId14" Type="http://schemas.openxmlformats.org/officeDocument/2006/relationships/image" Target="../media/image8.svg"/><Relationship Id="rId22" Type="http://schemas.openxmlformats.org/officeDocument/2006/relationships/hyperlink" Target="#'Tietojen perust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222250</xdr:colOff>
      <xdr:row>2</xdr:row>
      <xdr:rowOff>40217</xdr:rowOff>
    </xdr:from>
    <xdr:to>
      <xdr:col>16</xdr:col>
      <xdr:colOff>158750</xdr:colOff>
      <xdr:row>6</xdr:row>
      <xdr:rowOff>12700</xdr:rowOff>
    </xdr:to>
    <xdr:sp macro="" textlink="">
      <xdr:nvSpPr>
        <xdr:cNvPr id="2" name="TekstSylinder 30">
          <a:extLst>
            <a:ext uri="{FF2B5EF4-FFF2-40B4-BE49-F238E27FC236}">
              <a16:creationId xmlns:a16="http://schemas.microsoft.com/office/drawing/2014/main" id="{6887741D-ADA4-4CFF-A749-B11728AA47DB}"/>
            </a:ext>
          </a:extLst>
        </xdr:cNvPr>
        <xdr:cNvSpPr txBox="1"/>
      </xdr:nvSpPr>
      <xdr:spPr>
        <a:xfrm>
          <a:off x="1228725" y="1552575"/>
          <a:ext cx="109347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Vaikutuslaskuri ICT-laitteille</a:t>
          </a:r>
        </a:p>
      </xdr:txBody>
    </xdr:sp>
    <xdr:clientData/>
  </xdr:twoCellAnchor>
  <xdr:twoCellAnchor>
    <xdr:from>
      <xdr:col>1</xdr:col>
      <xdr:colOff>219075</xdr:colOff>
      <xdr:row>6</xdr:row>
      <xdr:rowOff>162560</xdr:rowOff>
    </xdr:from>
    <xdr:to>
      <xdr:col>19</xdr:col>
      <xdr:colOff>495935</xdr:colOff>
      <xdr:row>12</xdr:row>
      <xdr:rowOff>127000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163AEA55-3B4E-42DD-AE98-B2EF556F2E1B}"/>
            </a:ext>
          </a:extLst>
        </xdr:cNvPr>
        <xdr:cNvSpPr txBox="1"/>
      </xdr:nvSpPr>
      <xdr:spPr>
        <a:xfrm>
          <a:off x="1228725" y="2438400"/>
          <a:ext cx="13477875" cy="11049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en-US" sz="2400" b="1" i="0" u="none" baseline="0">
              <a:solidFill>
                <a:srgbClr val="00446D"/>
              </a:solidFill>
              <a:latin typeface="Source Sans Pro"/>
              <a:ea typeface="Source Sans Pro"/>
            </a:rPr>
            <a:t>Työkalu kustannustehokkaiden ilmastotoimien toteuttamiseen ICT-hankinnoissa</a:t>
          </a:r>
        </a:p>
      </xdr:txBody>
    </xdr:sp>
    <xdr:clientData/>
  </xdr:twoCellAnchor>
  <xdr:twoCellAnchor>
    <xdr:from>
      <xdr:col>1</xdr:col>
      <xdr:colOff>200304</xdr:colOff>
      <xdr:row>19</xdr:row>
      <xdr:rowOff>0</xdr:rowOff>
    </xdr:from>
    <xdr:to>
      <xdr:col>10</xdr:col>
      <xdr:colOff>123829</xdr:colOff>
      <xdr:row>46</xdr:row>
      <xdr:rowOff>169912</xdr:rowOff>
    </xdr:to>
    <xdr:sp macro="" textlink="" fLocksText="0">
      <xdr:nvSpPr>
        <xdr:cNvPr id="5" name="Avrundet rektangel 40">
          <a:extLst>
            <a:ext uri="{FF2B5EF4-FFF2-40B4-BE49-F238E27FC236}">
              <a16:creationId xmlns:a16="http://schemas.microsoft.com/office/drawing/2014/main" id="{49D5ECA4-78F5-44EE-8E7B-9908DB2A2D6D}"/>
            </a:ext>
          </a:extLst>
        </xdr:cNvPr>
        <xdr:cNvSpPr/>
      </xdr:nvSpPr>
      <xdr:spPr>
        <a:xfrm>
          <a:off x="1209675" y="5800725"/>
          <a:ext cx="6524625" cy="5314950"/>
        </a:xfrm>
        <a:prstGeom prst="roundRect">
          <a:avLst>
            <a:gd name="adj" fmla="val 5856"/>
          </a:avLst>
        </a:prstGeom>
        <a:solidFill>
          <a:srgbClr val="FFF8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400" b="0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400" b="0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400" b="0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Ilmastojalanjälkesi-välilehti antaa yleiskuvan yrityksesi </a:t>
          </a:r>
          <a:r>
            <a:rPr lang="nb-NO" sz="24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olemassa olevien ICT-laitteiden jalanjäljestä</a:t>
          </a:r>
          <a:r>
            <a:rPr lang="nb-NO" sz="2400" b="0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.</a:t>
          </a:r>
          <a:r>
            <a:rPr lang="nb-NO" sz="2400" b="0" i="0" u="non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>
            <a:defRPr lang="nb-NO" sz="2400" b="0" i="0" u="non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defRPr>
          </a:pPr>
          <a:endParaRPr/>
        </a:p>
      </xdr:txBody>
    </xdr:sp>
    <xdr:clientData/>
  </xdr:twoCellAnchor>
  <xdr:twoCellAnchor>
    <xdr:from>
      <xdr:col>10</xdr:col>
      <xdr:colOff>448972</xdr:colOff>
      <xdr:row>19</xdr:row>
      <xdr:rowOff>0</xdr:rowOff>
    </xdr:from>
    <xdr:to>
      <xdr:col>19</xdr:col>
      <xdr:colOff>371248</xdr:colOff>
      <xdr:row>46</xdr:row>
      <xdr:rowOff>169912</xdr:rowOff>
    </xdr:to>
    <xdr:sp macro="" textlink="" fLocksText="0">
      <xdr:nvSpPr>
        <xdr:cNvPr id="6" name="Avrundet rektangel 67">
          <a:extLst>
            <a:ext uri="{FF2B5EF4-FFF2-40B4-BE49-F238E27FC236}">
              <a16:creationId xmlns:a16="http://schemas.microsoft.com/office/drawing/2014/main" id="{3105A97D-CA89-4115-B304-B188D6412BB2}"/>
            </a:ext>
          </a:extLst>
        </xdr:cNvPr>
        <xdr:cNvSpPr/>
      </xdr:nvSpPr>
      <xdr:spPr>
        <a:xfrm>
          <a:off x="8058150" y="5800725"/>
          <a:ext cx="6524625" cy="5314950"/>
        </a:xfrm>
        <a:prstGeom prst="roundRect">
          <a:avLst>
            <a:gd name="adj" fmla="val 5856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Ilmastotoimet-välilehdellä voit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tutkia erilaisia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toimenpiteitä ICT-laitteiden sisällä, ja sitä voidaan käyttää arvioimaan, mitä toimenpiteitä haluat toteuttaa itse. </a:t>
          </a:r>
          <a:r>
            <a: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562226</xdr:colOff>
      <xdr:row>41</xdr:row>
      <xdr:rowOff>24538</xdr:rowOff>
    </xdr:from>
    <xdr:to>
      <xdr:col>9</xdr:col>
      <xdr:colOff>468510</xdr:colOff>
      <xdr:row>44</xdr:row>
      <xdr:rowOff>51208</xdr:rowOff>
    </xdr:to>
    <xdr:grpSp>
      <xdr:nvGrpSpPr>
        <xdr:cNvPr id="7" name="Grup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548272-B6B4-496F-982B-022A5B404AA8}"/>
            </a:ext>
          </a:extLst>
        </xdr:cNvPr>
        <xdr:cNvGrpSpPr>
          <a:grpSpLocks noChangeAspect="1"/>
        </xdr:cNvGrpSpPr>
      </xdr:nvGrpSpPr>
      <xdr:grpSpPr>
        <a:xfrm>
          <a:off x="1571876" y="9692413"/>
          <a:ext cx="5773684" cy="569595"/>
          <a:chOff x="1478017" y="6610852"/>
          <a:chExt cx="5494284" cy="598171"/>
        </a:xfrm>
      </xdr:grpSpPr>
      <xdr:sp macro="" textlink="">
        <xdr:nvSpPr>
          <xdr:cNvPr id="8" name="Avrundet rektangel 33">
            <a:extLst>
              <a:ext uri="{FF2B5EF4-FFF2-40B4-BE49-F238E27FC236}">
                <a16:creationId xmlns:a16="http://schemas.microsoft.com/office/drawing/2014/main" id="{3EFCB864-F684-76B4-68D6-149CE6A8D677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Ilmastojalanjälkesi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9" name="Grafikk 51">
            <a:extLst>
              <a:ext uri="{FF2B5EF4-FFF2-40B4-BE49-F238E27FC236}">
                <a16:creationId xmlns:a16="http://schemas.microsoft.com/office/drawing/2014/main" id="{C1434FF3-D988-074A-21E3-81A287B1F21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204414</xdr:colOff>
      <xdr:row>14</xdr:row>
      <xdr:rowOff>440507</xdr:rowOff>
    </xdr:from>
    <xdr:to>
      <xdr:col>21</xdr:col>
      <xdr:colOff>139699</xdr:colOff>
      <xdr:row>16</xdr:row>
      <xdr:rowOff>255494</xdr:rowOff>
    </xdr:to>
    <xdr:sp macro="" textlink="" fLocksText="0">
      <xdr:nvSpPr>
        <xdr:cNvPr id="60" name="TekstSylinder 9">
          <a:extLst>
            <a:ext uri="{FF2B5EF4-FFF2-40B4-BE49-F238E27FC236}">
              <a16:creationId xmlns:a16="http://schemas.microsoft.com/office/drawing/2014/main" id="{13DE8365-CEC9-482D-BA5C-8C03970975B9}"/>
            </a:ext>
          </a:extLst>
        </xdr:cNvPr>
        <xdr:cNvSpPr txBox="1"/>
      </xdr:nvSpPr>
      <xdr:spPr>
        <a:xfrm>
          <a:off x="1209675" y="4695825"/>
          <a:ext cx="14601825" cy="628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Miten ICT-laitteiden vaikutuslaskuria voidaan käyttää?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29</xdr:col>
      <xdr:colOff>533860</xdr:colOff>
      <xdr:row>17</xdr:row>
      <xdr:rowOff>166778</xdr:rowOff>
    </xdr:from>
    <xdr:to>
      <xdr:col>30</xdr:col>
      <xdr:colOff>9695</xdr:colOff>
      <xdr:row>19</xdr:row>
      <xdr:rowOff>87536</xdr:rowOff>
    </xdr:to>
    <xdr:pic>
      <xdr:nvPicPr>
        <xdr:cNvPr id="11" name="Grafikk 62">
          <a:extLst>
            <a:ext uri="{FF2B5EF4-FFF2-40B4-BE49-F238E27FC236}">
              <a16:creationId xmlns:a16="http://schemas.microsoft.com/office/drawing/2014/main" id="{95CB13E3-7784-4A36-9E4B-86BA469F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078950" y="5610225"/>
          <a:ext cx="209550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417829</xdr:colOff>
      <xdr:row>0</xdr:row>
      <xdr:rowOff>248139</xdr:rowOff>
    </xdr:from>
    <xdr:to>
      <xdr:col>0</xdr:col>
      <xdr:colOff>858844</xdr:colOff>
      <xdr:row>0</xdr:row>
      <xdr:rowOff>627414</xdr:rowOff>
    </xdr:to>
    <xdr:pic>
      <xdr:nvPicPr>
        <xdr:cNvPr id="56" name="Grafikk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AFABB8-642C-4B96-A1C7-B1133035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19100" y="247650"/>
          <a:ext cx="438150" cy="381000"/>
        </a:xfrm>
        <a:prstGeom prst="rect">
          <a:avLst/>
        </a:prstGeom>
      </xdr:spPr>
    </xdr:pic>
    <xdr:clientData/>
  </xdr:twoCellAnchor>
  <xdr:twoCellAnchor>
    <xdr:from>
      <xdr:col>19</xdr:col>
      <xdr:colOff>658523</xdr:colOff>
      <xdr:row>19</xdr:row>
      <xdr:rowOff>0</xdr:rowOff>
    </xdr:from>
    <xdr:to>
      <xdr:col>29</xdr:col>
      <xdr:colOff>31751</xdr:colOff>
      <xdr:row>46</xdr:row>
      <xdr:rowOff>170640</xdr:rowOff>
    </xdr:to>
    <xdr:sp macro="" textlink="" fLocksText="0">
      <xdr:nvSpPr>
        <xdr:cNvPr id="16" name="Avrundet rektangel 67">
          <a:extLst>
            <a:ext uri="{FF2B5EF4-FFF2-40B4-BE49-F238E27FC236}">
              <a16:creationId xmlns:a16="http://schemas.microsoft.com/office/drawing/2014/main" id="{B8D96BF0-F88F-4F29-AEB6-A6A077EEC6B5}"/>
            </a:ext>
          </a:extLst>
        </xdr:cNvPr>
        <xdr:cNvSpPr/>
      </xdr:nvSpPr>
      <xdr:spPr>
        <a:xfrm>
          <a:off x="14868525" y="5800725"/>
          <a:ext cx="6705600" cy="5314950"/>
        </a:xfrm>
        <a:prstGeom prst="roundRect">
          <a:avLst>
            <a:gd name="adj" fmla="val 5856"/>
          </a:avLst>
        </a:prstGeom>
        <a:solidFill>
          <a:srgbClr val="E5F7FC">
            <a:alpha val="3735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27432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Hankinta ja vaikutus -välilehdellä voit syöttää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hankintasi ja sisällyttää toimenpiteitä nähdäksesi niiden ilmastovaikutuksen.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Myös taustatiedot voidaan korvata. </a:t>
          </a:r>
          <a:r>
            <a: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 </a:t>
          </a:r>
        </a:p>
      </xdr:txBody>
    </xdr:sp>
    <xdr:clientData/>
  </xdr:twoCellAnchor>
  <xdr:twoCellAnchor>
    <xdr:from>
      <xdr:col>1</xdr:col>
      <xdr:colOff>576684</xdr:colOff>
      <xdr:row>24</xdr:row>
      <xdr:rowOff>153005</xdr:rowOff>
    </xdr:from>
    <xdr:to>
      <xdr:col>9</xdr:col>
      <xdr:colOff>76995</xdr:colOff>
      <xdr:row>32</xdr:row>
      <xdr:rowOff>31434</xdr:rowOff>
    </xdr:to>
    <xdr:sp macro="" textlink="" fLocksText="0">
      <xdr:nvSpPr>
        <xdr:cNvPr id="17" name="TekstSylinder 58">
          <a:extLst>
            <a:ext uri="{FF2B5EF4-FFF2-40B4-BE49-F238E27FC236}">
              <a16:creationId xmlns:a16="http://schemas.microsoft.com/office/drawing/2014/main" id="{2B7A6C9E-A78A-49E2-BA34-BFBA205EB76B}"/>
            </a:ext>
          </a:extLst>
        </xdr:cNvPr>
        <xdr:cNvSpPr txBox="1"/>
      </xdr:nvSpPr>
      <xdr:spPr>
        <a:xfrm>
          <a:off x="1590675" y="6905625"/>
          <a:ext cx="5372100" cy="14001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Hanki yleiskatsaus ilmastojalanjäljestäsi</a:t>
          </a:r>
        </a:p>
      </xdr:txBody>
    </xdr:sp>
    <xdr:clientData/>
  </xdr:twoCellAnchor>
  <xdr:twoCellAnchor>
    <xdr:from>
      <xdr:col>11</xdr:col>
      <xdr:colOff>28157</xdr:colOff>
      <xdr:row>24</xdr:row>
      <xdr:rowOff>153005</xdr:rowOff>
    </xdr:from>
    <xdr:to>
      <xdr:col>18</xdr:col>
      <xdr:colOff>226812</xdr:colOff>
      <xdr:row>28</xdr:row>
      <xdr:rowOff>127604</xdr:rowOff>
    </xdr:to>
    <xdr:sp macro="" textlink="" fLocksText="0">
      <xdr:nvSpPr>
        <xdr:cNvPr id="18" name="TekstSylinder 57">
          <a:extLst>
            <a:ext uri="{FF2B5EF4-FFF2-40B4-BE49-F238E27FC236}">
              <a16:creationId xmlns:a16="http://schemas.microsoft.com/office/drawing/2014/main" id="{5A5C825C-C10C-4849-B3A5-94DB8E134A5D}"/>
            </a:ext>
          </a:extLst>
        </xdr:cNvPr>
        <xdr:cNvSpPr txBox="1"/>
      </xdr:nvSpPr>
      <xdr:spPr>
        <a:xfrm>
          <a:off x="8372475" y="6905625"/>
          <a:ext cx="53340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Lue lisää ilmastotoimista</a:t>
          </a:r>
        </a:p>
      </xdr:txBody>
    </xdr:sp>
    <xdr:clientData/>
  </xdr:twoCellAnchor>
  <xdr:twoCellAnchor>
    <xdr:from>
      <xdr:col>20</xdr:col>
      <xdr:colOff>238893</xdr:colOff>
      <xdr:row>24</xdr:row>
      <xdr:rowOff>153005</xdr:rowOff>
    </xdr:from>
    <xdr:to>
      <xdr:col>27</xdr:col>
      <xdr:colOff>428179</xdr:colOff>
      <xdr:row>28</xdr:row>
      <xdr:rowOff>127604</xdr:rowOff>
    </xdr:to>
    <xdr:sp macro="" textlink="" fLocksText="0">
      <xdr:nvSpPr>
        <xdr:cNvPr id="19" name="TekstSylinder 59">
          <a:extLst>
            <a:ext uri="{FF2B5EF4-FFF2-40B4-BE49-F238E27FC236}">
              <a16:creationId xmlns:a16="http://schemas.microsoft.com/office/drawing/2014/main" id="{D8350D51-4074-4D7D-B251-EDA9DAA6F922}"/>
            </a:ext>
          </a:extLst>
        </xdr:cNvPr>
        <xdr:cNvSpPr txBox="1"/>
      </xdr:nvSpPr>
      <xdr:spPr>
        <a:xfrm>
          <a:off x="15182850" y="6905625"/>
          <a:ext cx="532447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Käytä sitä käytännössä</a:t>
          </a:r>
        </a:p>
      </xdr:txBody>
    </xdr:sp>
    <xdr:clientData/>
  </xdr:twoCellAnchor>
  <xdr:twoCellAnchor>
    <xdr:from>
      <xdr:col>7</xdr:col>
      <xdr:colOff>391305</xdr:colOff>
      <xdr:row>20</xdr:row>
      <xdr:rowOff>6410</xdr:rowOff>
    </xdr:from>
    <xdr:to>
      <xdr:col>9</xdr:col>
      <xdr:colOff>546944</xdr:colOff>
      <xdr:row>22</xdr:row>
      <xdr:rowOff>12700</xdr:rowOff>
    </xdr:to>
    <xdr:sp macro="" textlink="">
      <xdr:nvSpPr>
        <xdr:cNvPr id="20" name="Avrundet rektangel 30">
          <a:extLst>
            <a:ext uri="{FF2B5EF4-FFF2-40B4-BE49-F238E27FC236}">
              <a16:creationId xmlns:a16="http://schemas.microsoft.com/office/drawing/2014/main" id="{4269E832-F73C-45C4-AAE1-407D6E39C4FB}"/>
            </a:ext>
          </a:extLst>
        </xdr:cNvPr>
        <xdr:cNvSpPr/>
      </xdr:nvSpPr>
      <xdr:spPr>
        <a:xfrm>
          <a:off x="5800725" y="6000750"/>
          <a:ext cx="16192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Ennen hankintaa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</xdr:col>
      <xdr:colOff>132592</xdr:colOff>
      <xdr:row>52</xdr:row>
      <xdr:rowOff>15696</xdr:rowOff>
    </xdr:from>
    <xdr:to>
      <xdr:col>13</xdr:col>
      <xdr:colOff>631190</xdr:colOff>
      <xdr:row>64</xdr:row>
      <xdr:rowOff>434762</xdr:rowOff>
    </xdr:to>
    <xdr:grpSp>
      <xdr:nvGrpSpPr>
        <xdr:cNvPr id="21" name="Gruppe 20">
          <a:extLst>
            <a:ext uri="{FF2B5EF4-FFF2-40B4-BE49-F238E27FC236}">
              <a16:creationId xmlns:a16="http://schemas.microsoft.com/office/drawing/2014/main" id="{928E4994-4AFA-4A92-A7DB-3971BCE4B40E}"/>
            </a:ext>
          </a:extLst>
        </xdr:cNvPr>
        <xdr:cNvGrpSpPr>
          <a:grpSpLocks/>
        </xdr:cNvGrpSpPr>
      </xdr:nvGrpSpPr>
      <xdr:grpSpPr>
        <a:xfrm>
          <a:off x="1142242" y="11674296"/>
          <a:ext cx="9299698" cy="3105116"/>
          <a:chOff x="1182953" y="12791233"/>
          <a:chExt cx="9814277" cy="3363568"/>
        </a:xfrm>
      </xdr:grpSpPr>
      <xdr:sp macro="" textlink="" fLocksText="0">
        <xdr:nvSpPr>
          <xdr:cNvPr id="22" name="Avrundet rektangel 40">
            <a:extLst>
              <a:ext uri="{FF2B5EF4-FFF2-40B4-BE49-F238E27FC236}">
                <a16:creationId xmlns:a16="http://schemas.microsoft.com/office/drawing/2014/main" id="{E1F7AB7E-B19D-1C2A-D12D-A9B3856BE225}"/>
              </a:ext>
            </a:extLst>
          </xdr:cNvPr>
          <xdr:cNvSpPr>
            <a:spLocks noChangeAspect="1"/>
          </xdr:cNvSpPr>
        </xdr:nvSpPr>
        <xdr:spPr>
          <a:xfrm>
            <a:off x="1182953" y="12791233"/>
            <a:ext cx="9814277" cy="3363568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tiedoista, joihin se perustuu?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Katso tämän työkalun tietojen yleiskatsaus tai lataa vastaava opas DFØ:n sivuilta.</a:t>
            </a:r>
            <a:r>
              <a: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23" name="Grafikk 303">
            <a:extLst>
              <a:ext uri="{FF2B5EF4-FFF2-40B4-BE49-F238E27FC236}">
                <a16:creationId xmlns:a16="http://schemas.microsoft.com/office/drawing/2014/main" id="{A996116E-7406-5F91-0E0F-AF2788F2C3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588138" y="13147855"/>
            <a:ext cx="371086" cy="390518"/>
          </a:xfrm>
          <a:prstGeom prst="rect">
            <a:avLst/>
          </a:prstGeom>
        </xdr:spPr>
      </xdr:pic>
      <xdr:grpSp>
        <xdr:nvGrpSpPr>
          <xdr:cNvPr id="24" name="Gruppe 579">
            <a:extLst>
              <a:ext uri="{FF2B5EF4-FFF2-40B4-BE49-F238E27FC236}">
                <a16:creationId xmlns:a16="http://schemas.microsoft.com/office/drawing/2014/main" id="{81B6F34C-4678-CE0E-66C2-EFBCB25F2305}"/>
              </a:ext>
            </a:extLst>
          </xdr:cNvPr>
          <xdr:cNvGrpSpPr>
            <a:grpSpLocks/>
          </xdr:cNvGrpSpPr>
        </xdr:nvGrpSpPr>
        <xdr:grpSpPr>
          <a:xfrm>
            <a:off x="7222174" y="14478036"/>
            <a:ext cx="3400785" cy="1045940"/>
            <a:chOff x="7128936" y="13235433"/>
            <a:chExt cx="3366557" cy="1012240"/>
          </a:xfrm>
        </xdr:grpSpPr>
        <xdr:sp macro="" textlink="">
          <xdr:nvSpPr>
            <xdr:cNvPr id="25" name="Avrundet rektangel 4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F863F6E7-B920-5BD8-9DEF-245151557F99}"/>
                </a:ext>
              </a:extLst>
            </xdr:cNvPr>
            <xdr:cNvSpPr>
              <a:spLocks noChangeAspect="1"/>
            </xdr:cNvSpPr>
          </xdr:nvSpPr>
          <xdr:spPr>
            <a:xfrm>
              <a:off x="7133396" y="13809659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grpSp>
          <xdr:nvGrpSpPr>
            <xdr:cNvPr id="26" name="Gruppe 305">
              <a:extLst>
                <a:ext uri="{FF2B5EF4-FFF2-40B4-BE49-F238E27FC236}">
                  <a16:creationId xmlns:a16="http://schemas.microsoft.com/office/drawing/2014/main" id="{290945D8-EA5C-F33F-9B5D-559662DB1AC7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28" name="Avrundet rektangel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AC778F7A-6FA9-95AA-93EE-C7736DFB527B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Tietojen perusta</a:t>
                </a:r>
              </a:p>
            </xdr:txBody>
          </xdr:sp>
          <xdr:pic>
            <xdr:nvPicPr>
              <xdr:cNvPr id="29" name="Grafikk 25">
                <a:extLst>
                  <a:ext uri="{FF2B5EF4-FFF2-40B4-BE49-F238E27FC236}">
                    <a16:creationId xmlns:a16="http://schemas.microsoft.com/office/drawing/2014/main" id="{A58140C2-E3B2-DA66-994A-F7606AA06E9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96DAC541-7B7A-43D3-8B79-37D633B846F1}">
                    <asvg:svgBlip xmlns:asvg="http://schemas.microsoft.com/office/drawing/2016/SVG/main" r:embed="rId3"/>
                  </a:ext>
                </a:extLst>
              </a:blip>
              <a:stretch>
                <a:fillRect/>
              </a:stretch>
            </xdr:blipFill>
            <xdr:spPr>
              <a:xfrm>
                <a:off x="22329962" y="6849207"/>
                <a:ext cx="129780" cy="354168"/>
              </a:xfrm>
              <a:prstGeom prst="rect">
                <a:avLst/>
              </a:prstGeom>
            </xdr:spPr>
          </xdr:pic>
        </xdr:grpSp>
        <xdr:pic>
          <xdr:nvPicPr>
            <xdr:cNvPr id="27" name="Grafikk 25">
              <a:extLst>
                <a:ext uri="{FF2B5EF4-FFF2-40B4-BE49-F238E27FC236}">
                  <a16:creationId xmlns:a16="http://schemas.microsoft.com/office/drawing/2014/main" id="{842D93C8-8B43-B821-DD10-463223760C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>
              <a:extLst>
                <a:ext uri="{96DAC541-7B7A-43D3-8B79-37D633B846F1}">
                  <asvg:svgBlip xmlns:asvg="http://schemas.microsoft.com/office/drawing/2016/SVG/main" r:embed="rId12"/>
                </a:ext>
              </a:extLst>
            </a:blip>
            <a:stretch>
              <a:fillRect/>
            </a:stretch>
          </xdr:blipFill>
          <xdr:spPr>
            <a:xfrm>
              <a:off x="10160600" y="13891488"/>
              <a:ext cx="151776" cy="30537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16</xdr:col>
      <xdr:colOff>371813</xdr:colOff>
      <xdr:row>20</xdr:row>
      <xdr:rowOff>6410</xdr:rowOff>
    </xdr:from>
    <xdr:to>
      <xdr:col>19</xdr:col>
      <xdr:colOff>102352</xdr:colOff>
      <xdr:row>22</xdr:row>
      <xdr:rowOff>13198</xdr:rowOff>
    </xdr:to>
    <xdr:sp macro="" textlink="">
      <xdr:nvSpPr>
        <xdr:cNvPr id="30" name="Avrundet rektangel 30">
          <a:extLst>
            <a:ext uri="{FF2B5EF4-FFF2-40B4-BE49-F238E27FC236}">
              <a16:creationId xmlns:a16="http://schemas.microsoft.com/office/drawing/2014/main" id="{3111CF86-5BF7-40E6-ADE7-51170257630C}"/>
            </a:ext>
          </a:extLst>
        </xdr:cNvPr>
        <xdr:cNvSpPr/>
      </xdr:nvSpPr>
      <xdr:spPr>
        <a:xfrm>
          <a:off x="12382500" y="6000750"/>
          <a:ext cx="1933575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Hankinnan aikana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23</xdr:col>
      <xdr:colOff>440912</xdr:colOff>
      <xdr:row>20</xdr:row>
      <xdr:rowOff>6410</xdr:rowOff>
    </xdr:from>
    <xdr:to>
      <xdr:col>26</xdr:col>
      <xdr:colOff>29496</xdr:colOff>
      <xdr:row>22</xdr:row>
      <xdr:rowOff>12700</xdr:rowOff>
    </xdr:to>
    <xdr:sp macro="" textlink="">
      <xdr:nvSpPr>
        <xdr:cNvPr id="31" name="Avrundet rektangel 30">
          <a:extLst>
            <a:ext uri="{FF2B5EF4-FFF2-40B4-BE49-F238E27FC236}">
              <a16:creationId xmlns:a16="http://schemas.microsoft.com/office/drawing/2014/main" id="{132B187D-8436-434B-9513-B846C3D56755}"/>
            </a:ext>
          </a:extLst>
        </xdr:cNvPr>
        <xdr:cNvSpPr/>
      </xdr:nvSpPr>
      <xdr:spPr>
        <a:xfrm>
          <a:off x="17583150" y="6000750"/>
          <a:ext cx="179070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Hankinnan aikana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14</xdr:col>
      <xdr:colOff>68777</xdr:colOff>
      <xdr:row>20</xdr:row>
      <xdr:rowOff>6410</xdr:rowOff>
    </xdr:from>
    <xdr:to>
      <xdr:col>16</xdr:col>
      <xdr:colOff>255737</xdr:colOff>
      <xdr:row>22</xdr:row>
      <xdr:rowOff>12290</xdr:rowOff>
    </xdr:to>
    <xdr:sp macro="" textlink="">
      <xdr:nvSpPr>
        <xdr:cNvPr id="32" name="Avrundet rektangel 30">
          <a:extLst>
            <a:ext uri="{FF2B5EF4-FFF2-40B4-BE49-F238E27FC236}">
              <a16:creationId xmlns:a16="http://schemas.microsoft.com/office/drawing/2014/main" id="{58DE8375-3A7A-4A1C-967C-0B54F19F4F15}"/>
            </a:ext>
          </a:extLst>
        </xdr:cNvPr>
        <xdr:cNvSpPr/>
      </xdr:nvSpPr>
      <xdr:spPr>
        <a:xfrm>
          <a:off x="10610850" y="6000750"/>
          <a:ext cx="16573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Ennen hankintaa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26</xdr:col>
      <xdr:colOff>107044</xdr:colOff>
      <xdr:row>20</xdr:row>
      <xdr:rowOff>6410</xdr:rowOff>
    </xdr:from>
    <xdr:to>
      <xdr:col>28</xdr:col>
      <xdr:colOff>587518</xdr:colOff>
      <xdr:row>22</xdr:row>
      <xdr:rowOff>12700</xdr:rowOff>
    </xdr:to>
    <xdr:sp macro="" textlink="">
      <xdr:nvSpPr>
        <xdr:cNvPr id="33" name="Avrundet rektangel 30">
          <a:extLst>
            <a:ext uri="{FF2B5EF4-FFF2-40B4-BE49-F238E27FC236}">
              <a16:creationId xmlns:a16="http://schemas.microsoft.com/office/drawing/2014/main" id="{D89E949A-E1A7-4C64-8958-2712A1955E91}"/>
            </a:ext>
          </a:extLst>
        </xdr:cNvPr>
        <xdr:cNvSpPr/>
      </xdr:nvSpPr>
      <xdr:spPr>
        <a:xfrm>
          <a:off x="19450050" y="6000750"/>
          <a:ext cx="194310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Hankinnan jälkeen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16</xdr:col>
      <xdr:colOff>617164</xdr:colOff>
      <xdr:row>1</xdr:row>
      <xdr:rowOff>250297</xdr:rowOff>
    </xdr:from>
    <xdr:to>
      <xdr:col>20</xdr:col>
      <xdr:colOff>11071</xdr:colOff>
      <xdr:row>12</xdr:row>
      <xdr:rowOff>119487</xdr:rowOff>
    </xdr:to>
    <xdr:pic>
      <xdr:nvPicPr>
        <xdr:cNvPr id="35" name="Grafikk 34">
          <a:extLst>
            <a:ext uri="{FF2B5EF4-FFF2-40B4-BE49-F238E27FC236}">
              <a16:creationId xmlns:a16="http://schemas.microsoft.com/office/drawing/2014/main" id="{F32C60BC-92F4-4CDE-B244-C294F57B1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2826482" y="1081570"/>
          <a:ext cx="2372634" cy="2276417"/>
        </a:xfrm>
        <a:prstGeom prst="rect">
          <a:avLst/>
        </a:prstGeom>
      </xdr:spPr>
    </xdr:pic>
    <xdr:clientData/>
  </xdr:twoCellAnchor>
  <xdr:twoCellAnchor editAs="oneCell">
    <xdr:from>
      <xdr:col>1</xdr:col>
      <xdr:colOff>275463</xdr:colOff>
      <xdr:row>89</xdr:row>
      <xdr:rowOff>170179</xdr:rowOff>
    </xdr:from>
    <xdr:to>
      <xdr:col>1</xdr:col>
      <xdr:colOff>589728</xdr:colOff>
      <xdr:row>91</xdr:row>
      <xdr:rowOff>152399</xdr:rowOff>
    </xdr:to>
    <xdr:pic>
      <xdr:nvPicPr>
        <xdr:cNvPr id="36" name="Grafikk 582">
          <a:extLst>
            <a:ext uri="{FF2B5EF4-FFF2-40B4-BE49-F238E27FC236}">
              <a16:creationId xmlns:a16="http://schemas.microsoft.com/office/drawing/2014/main" id="{D1FFE18A-081D-42D6-95F4-25472CEB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1285875" y="22240875"/>
          <a:ext cx="314325" cy="361950"/>
        </a:xfrm>
        <a:prstGeom prst="rect">
          <a:avLst/>
        </a:prstGeom>
      </xdr:spPr>
    </xdr:pic>
    <xdr:clientData/>
  </xdr:twoCellAnchor>
  <xdr:twoCellAnchor editAs="oneCell">
    <xdr:from>
      <xdr:col>22</xdr:col>
      <xdr:colOff>745136</xdr:colOff>
      <xdr:row>85</xdr:row>
      <xdr:rowOff>135817</xdr:rowOff>
    </xdr:from>
    <xdr:to>
      <xdr:col>29</xdr:col>
      <xdr:colOff>284761</xdr:colOff>
      <xdr:row>89</xdr:row>
      <xdr:rowOff>104067</xdr:rowOff>
    </xdr:to>
    <xdr:pic>
      <xdr:nvPicPr>
        <xdr:cNvPr id="37" name="Grafikk 583">
          <a:extLst>
            <a:ext uri="{FF2B5EF4-FFF2-40B4-BE49-F238E27FC236}">
              <a16:creationId xmlns:a16="http://schemas.microsoft.com/office/drawing/2014/main" id="{666DA148-1E62-4B13-9734-2246DA4D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00" y="21440775"/>
          <a:ext cx="4686300" cy="73342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83</xdr:row>
      <xdr:rowOff>0</xdr:rowOff>
    </xdr:from>
    <xdr:to>
      <xdr:col>21</xdr:col>
      <xdr:colOff>87685</xdr:colOff>
      <xdr:row>86</xdr:row>
      <xdr:rowOff>43587</xdr:rowOff>
    </xdr:to>
    <xdr:sp macro="" textlink="">
      <xdr:nvSpPr>
        <xdr:cNvPr id="38" name="TekstSylinder 37">
          <a:extLst>
            <a:ext uri="{FF2B5EF4-FFF2-40B4-BE49-F238E27FC236}">
              <a16:creationId xmlns:a16="http://schemas.microsoft.com/office/drawing/2014/main" id="{FEA39A76-3C78-4C71-8F8A-4062924C7920}"/>
            </a:ext>
          </a:extLst>
        </xdr:cNvPr>
        <xdr:cNvSpPr txBox="1"/>
      </xdr:nvSpPr>
      <xdr:spPr>
        <a:xfrm>
          <a:off x="1162050" y="20935950"/>
          <a:ext cx="14601825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Tarvitsetko apua?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86</xdr:row>
      <xdr:rowOff>63500</xdr:rowOff>
    </xdr:from>
    <xdr:to>
      <xdr:col>10</xdr:col>
      <xdr:colOff>622300</xdr:colOff>
      <xdr:row>89</xdr:row>
      <xdr:rowOff>107087</xdr:rowOff>
    </xdr:to>
    <xdr:sp macro="" textlink="">
      <xdr:nvSpPr>
        <xdr:cNvPr id="39" name="TekstSylinder 38">
          <a:extLst>
            <a:ext uri="{FF2B5EF4-FFF2-40B4-BE49-F238E27FC236}">
              <a16:creationId xmlns:a16="http://schemas.microsoft.com/office/drawing/2014/main" id="{3E669FB8-95BC-4AC0-A73C-0C6BCE8E0D4E}"/>
            </a:ext>
          </a:extLst>
        </xdr:cNvPr>
        <xdr:cNvSpPr txBox="1"/>
      </xdr:nvSpPr>
      <xdr:spPr>
        <a:xfrm>
          <a:off x="1171575" y="21564600"/>
          <a:ext cx="7058025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Lähetä sähköpostia tai soita DFØ:n tukinumeroon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</xdr:colOff>
      <xdr:row>89</xdr:row>
      <xdr:rowOff>114300</xdr:rowOff>
    </xdr:from>
    <xdr:to>
      <xdr:col>6</xdr:col>
      <xdr:colOff>419101</xdr:colOff>
      <xdr:row>92</xdr:row>
      <xdr:rowOff>25399</xdr:rowOff>
    </xdr:to>
    <xdr:sp macro="" textlink="">
      <xdr:nvSpPr>
        <xdr:cNvPr id="40" name="TekstSylinder 14">
          <a:extLst>
            <a:ext uri="{FF2B5EF4-FFF2-40B4-BE49-F238E27FC236}">
              <a16:creationId xmlns:a16="http://schemas.microsoft.com/office/drawing/2014/main" id="{7ACEDB7A-943A-42DB-AFFF-F0A2CF0CA81A}"/>
            </a:ext>
          </a:extLst>
        </xdr:cNvPr>
        <xdr:cNvSpPr txBox="1"/>
      </xdr:nvSpPr>
      <xdr:spPr>
        <a:xfrm>
          <a:off x="1743075" y="22183725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92</xdr:row>
      <xdr:rowOff>147542</xdr:rowOff>
    </xdr:from>
    <xdr:to>
      <xdr:col>1</xdr:col>
      <xdr:colOff>666750</xdr:colOff>
      <xdr:row>94</xdr:row>
      <xdr:rowOff>38726</xdr:rowOff>
    </xdr:to>
    <xdr:pic>
      <xdr:nvPicPr>
        <xdr:cNvPr id="41" name="Grafikk 15">
          <a:extLst>
            <a:ext uri="{FF2B5EF4-FFF2-40B4-BE49-F238E27FC236}">
              <a16:creationId xmlns:a16="http://schemas.microsoft.com/office/drawing/2014/main" id="{2D33DF81-E4ED-42F6-871E-FD3FD65C9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85875" y="22783800"/>
          <a:ext cx="390525" cy="2762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92</xdr:row>
      <xdr:rowOff>19050</xdr:rowOff>
    </xdr:from>
    <xdr:to>
      <xdr:col>6</xdr:col>
      <xdr:colOff>419101</xdr:colOff>
      <xdr:row>94</xdr:row>
      <xdr:rowOff>120649</xdr:rowOff>
    </xdr:to>
    <xdr:sp macro="" textlink="">
      <xdr:nvSpPr>
        <xdr:cNvPr id="42" name="TekstSylinder 1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19AA309-E46F-4680-A43E-F99B612C8F37}"/>
            </a:ext>
          </a:extLst>
        </xdr:cNvPr>
        <xdr:cNvSpPr txBox="1"/>
      </xdr:nvSpPr>
      <xdr:spPr>
        <a:xfrm>
          <a:off x="1743075" y="22659975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Yhteydenottolomake</a:t>
          </a:r>
        </a:p>
      </xdr:txBody>
    </xdr:sp>
    <xdr:clientData/>
  </xdr:twoCellAnchor>
  <xdr:twoCellAnchor>
    <xdr:from>
      <xdr:col>1</xdr:col>
      <xdr:colOff>177800</xdr:colOff>
      <xdr:row>64</xdr:row>
      <xdr:rowOff>975360</xdr:rowOff>
    </xdr:from>
    <xdr:to>
      <xdr:col>16</xdr:col>
      <xdr:colOff>584200</xdr:colOff>
      <xdr:row>65</xdr:row>
      <xdr:rowOff>597249</xdr:rowOff>
    </xdr:to>
    <xdr:sp macro="" textlink="" fLocksText="0">
      <xdr:nvSpPr>
        <xdr:cNvPr id="43" name="TekstSylinder 58">
          <a:extLst>
            <a:ext uri="{FF2B5EF4-FFF2-40B4-BE49-F238E27FC236}">
              <a16:creationId xmlns:a16="http://schemas.microsoft.com/office/drawing/2014/main" id="{D8A1C047-EB2C-4BA4-8889-2C19216FD0D0}"/>
            </a:ext>
          </a:extLst>
        </xdr:cNvPr>
        <xdr:cNvSpPr txBox="1"/>
      </xdr:nvSpPr>
      <xdr:spPr>
        <a:xfrm>
          <a:off x="1190625" y="15849600"/>
          <a:ext cx="11410950" cy="17145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Haluatko tietää lisää siitä, miten ICT-laitehankintojen kestävää kehitystä voidaan edistää?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1</xdr:col>
      <xdr:colOff>234950</xdr:colOff>
      <xdr:row>65</xdr:row>
      <xdr:rowOff>419100</xdr:rowOff>
    </xdr:from>
    <xdr:to>
      <xdr:col>14</xdr:col>
      <xdr:colOff>44450</xdr:colOff>
      <xdr:row>69</xdr:row>
      <xdr:rowOff>6350</xdr:rowOff>
    </xdr:to>
    <xdr:sp macro="" textlink="" fLocksText="0">
      <xdr:nvSpPr>
        <xdr:cNvPr id="44" name="TekstSylinder 451">
          <a:extLst>
            <a:ext uri="{FF2B5EF4-FFF2-40B4-BE49-F238E27FC236}">
              <a16:creationId xmlns:a16="http://schemas.microsoft.com/office/drawing/2014/main" id="{C8C1012A-7C3E-4A8F-884E-405795DF0B71}"/>
            </a:ext>
          </a:extLst>
        </xdr:cNvPr>
        <xdr:cNvSpPr txBox="1"/>
      </xdr:nvSpPr>
      <xdr:spPr>
        <a:xfrm>
          <a:off x="1247775" y="17392650"/>
          <a:ext cx="9344025" cy="8858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DFØ:n sivuilta voit lukea lisää asiaankuuluvista vaatimuksista ja kriteereistä, määräyksistä, ympäristömerkeistä ja muista ympäristövaikutuksista kuin kasvihuonekaasupäästöistä.</a:t>
          </a:r>
          <a:endParaRPr lang="nb-NO" sz="2000" b="0" u="none" baseline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266700</xdr:colOff>
      <xdr:row>70</xdr:row>
      <xdr:rowOff>152401</xdr:rowOff>
    </xdr:from>
    <xdr:to>
      <xdr:col>7</xdr:col>
      <xdr:colOff>165100</xdr:colOff>
      <xdr:row>74</xdr:row>
      <xdr:rowOff>38101</xdr:rowOff>
    </xdr:to>
    <xdr:grpSp>
      <xdr:nvGrpSpPr>
        <xdr:cNvPr id="45" name="Gruppe 45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689910E-5CD5-4BEA-959C-3BEA42E3C4AC}"/>
            </a:ext>
          </a:extLst>
        </xdr:cNvPr>
        <xdr:cNvGrpSpPr>
          <a:grpSpLocks noChangeAspect="1"/>
        </xdr:cNvGrpSpPr>
      </xdr:nvGrpSpPr>
      <xdr:grpSpPr>
        <a:xfrm>
          <a:off x="1276350" y="18040351"/>
          <a:ext cx="4298950" cy="609600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46" name="Avrundet rektangel 33">
            <a:extLst>
              <a:ext uri="{FF2B5EF4-FFF2-40B4-BE49-F238E27FC236}">
                <a16:creationId xmlns:a16="http://schemas.microsoft.com/office/drawing/2014/main" id="{342695F9-45D5-8411-698E-5D6801D8A01D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0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Lue lisää osoitteessa anskaffelser.no</a:t>
            </a:r>
            <a:endParaRPr lang="nb-NO" sz="1800" b="0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47" name="Grafikk 51">
            <a:extLst>
              <a:ext uri="{FF2B5EF4-FFF2-40B4-BE49-F238E27FC236}">
                <a16:creationId xmlns:a16="http://schemas.microsoft.com/office/drawing/2014/main" id="{26246C2F-B5CF-E797-CC77-8E28699037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4665063" y="6783699"/>
            <a:ext cx="152199" cy="381334"/>
          </a:xfrm>
          <a:prstGeom prst="rect">
            <a:avLst/>
          </a:prstGeom>
        </xdr:spPr>
      </xdr:pic>
    </xdr:grpSp>
    <xdr:clientData/>
  </xdr:twoCellAnchor>
  <xdr:twoCellAnchor editAs="oneCell">
    <xdr:from>
      <xdr:col>18</xdr:col>
      <xdr:colOff>276225</xdr:colOff>
      <xdr:row>64</xdr:row>
      <xdr:rowOff>1532560</xdr:rowOff>
    </xdr:from>
    <xdr:to>
      <xdr:col>25</xdr:col>
      <xdr:colOff>372872</xdr:colOff>
      <xdr:row>74</xdr:row>
      <xdr:rowOff>25578</xdr:rowOff>
    </xdr:to>
    <xdr:pic>
      <xdr:nvPicPr>
        <xdr:cNvPr id="48" name="Grafikk 47">
          <a:extLst>
            <a:ext uri="{FF2B5EF4-FFF2-40B4-BE49-F238E27FC236}">
              <a16:creationId xmlns:a16="http://schemas.microsoft.com/office/drawing/2014/main" id="{2C1A0E32-356C-4860-BB67-20B617D3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13754100" y="16411575"/>
          <a:ext cx="5229225" cy="2838450"/>
        </a:xfrm>
        <a:prstGeom prst="rect">
          <a:avLst/>
        </a:prstGeom>
      </xdr:spPr>
    </xdr:pic>
    <xdr:clientData/>
  </xdr:twoCellAnchor>
  <xdr:twoCellAnchor>
    <xdr:from>
      <xdr:col>10</xdr:col>
      <xdr:colOff>752995</xdr:colOff>
      <xdr:row>41</xdr:row>
      <xdr:rowOff>24538</xdr:rowOff>
    </xdr:from>
    <xdr:to>
      <xdr:col>18</xdr:col>
      <xdr:colOff>720239</xdr:colOff>
      <xdr:row>44</xdr:row>
      <xdr:rowOff>51208</xdr:rowOff>
    </xdr:to>
    <xdr:grpSp>
      <xdr:nvGrpSpPr>
        <xdr:cNvPr id="49" name="Gruppe 4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725101F-8458-4E29-85D8-56D00F724B65}"/>
            </a:ext>
          </a:extLst>
        </xdr:cNvPr>
        <xdr:cNvGrpSpPr>
          <a:grpSpLocks noChangeAspect="1"/>
        </xdr:cNvGrpSpPr>
      </xdr:nvGrpSpPr>
      <xdr:grpSpPr>
        <a:xfrm>
          <a:off x="8344420" y="9692413"/>
          <a:ext cx="5853694" cy="569595"/>
          <a:chOff x="1478017" y="6610852"/>
          <a:chExt cx="5494284" cy="598171"/>
        </a:xfrm>
      </xdr:grpSpPr>
      <xdr:sp macro="" textlink="">
        <xdr:nvSpPr>
          <xdr:cNvPr id="50" name="Avrundet rektangel 33">
            <a:extLst>
              <a:ext uri="{FF2B5EF4-FFF2-40B4-BE49-F238E27FC236}">
                <a16:creationId xmlns:a16="http://schemas.microsoft.com/office/drawing/2014/main" id="{672EAF92-9A27-326F-409F-4BBCB2315D10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Ilmastotoimet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51" name="Grafikk 51">
            <a:extLst>
              <a:ext uri="{FF2B5EF4-FFF2-40B4-BE49-F238E27FC236}">
                <a16:creationId xmlns:a16="http://schemas.microsoft.com/office/drawing/2014/main" id="{A63A50C2-E15B-BBE9-CF67-1D03FD9F798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288636</xdr:colOff>
      <xdr:row>41</xdr:row>
      <xdr:rowOff>24538</xdr:rowOff>
    </xdr:from>
    <xdr:to>
      <xdr:col>28</xdr:col>
      <xdr:colOff>476250</xdr:colOff>
      <xdr:row>44</xdr:row>
      <xdr:rowOff>51208</xdr:rowOff>
    </xdr:to>
    <xdr:grpSp>
      <xdr:nvGrpSpPr>
        <xdr:cNvPr id="52" name="Gruppe 5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25F2311D-ACF7-49FF-9179-E66870E2CDA0}"/>
            </a:ext>
          </a:extLst>
        </xdr:cNvPr>
        <xdr:cNvGrpSpPr>
          <a:grpSpLocks noChangeAspect="1"/>
        </xdr:cNvGrpSpPr>
      </xdr:nvGrpSpPr>
      <xdr:grpSpPr>
        <a:xfrm>
          <a:off x="15233361" y="9692413"/>
          <a:ext cx="6055014" cy="569595"/>
          <a:chOff x="1478017" y="6610852"/>
          <a:chExt cx="6768447" cy="598171"/>
        </a:xfrm>
      </xdr:grpSpPr>
      <xdr:sp macro="" textlink="">
        <xdr:nvSpPr>
          <xdr:cNvPr id="53" name="Avrundet rektangel 33">
            <a:extLst>
              <a:ext uri="{FF2B5EF4-FFF2-40B4-BE49-F238E27FC236}">
                <a16:creationId xmlns:a16="http://schemas.microsoft.com/office/drawing/2014/main" id="{D526BE5E-F83C-E197-E455-8C700C3656FD}"/>
              </a:ext>
            </a:extLst>
          </xdr:cNvPr>
          <xdr:cNvSpPr/>
        </xdr:nvSpPr>
        <xdr:spPr>
          <a:xfrm>
            <a:off x="1478017" y="6610852"/>
            <a:ext cx="6768447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Hankinta ja vaikutus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54" name="Grafikk 51">
            <a:extLst>
              <a:ext uri="{FF2B5EF4-FFF2-40B4-BE49-F238E27FC236}">
                <a16:creationId xmlns:a16="http://schemas.microsoft.com/office/drawing/2014/main" id="{3BF99E0B-45AD-0B94-928A-091149AAAC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838269" y="6720773"/>
            <a:ext cx="211312" cy="39114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0</xdr:row>
      <xdr:rowOff>13970</xdr:rowOff>
    </xdr:from>
    <xdr:to>
      <xdr:col>4</xdr:col>
      <xdr:colOff>261620</xdr:colOff>
      <xdr:row>0</xdr:row>
      <xdr:rowOff>836930</xdr:rowOff>
    </xdr:to>
    <xdr:sp macro="" textlink="">
      <xdr:nvSpPr>
        <xdr:cNvPr id="10" name="TekstSylinder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C9AD39-259B-47BE-B3FC-33B0C0F06715}"/>
            </a:ext>
          </a:extLst>
        </xdr:cNvPr>
        <xdr:cNvSpPr txBox="1"/>
      </xdr:nvSpPr>
      <xdr:spPr>
        <a:xfrm>
          <a:off x="1009650" y="9525"/>
          <a:ext cx="24574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l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3</xdr:col>
      <xdr:colOff>438321</xdr:colOff>
      <xdr:row>0</xdr:row>
      <xdr:rowOff>1270</xdr:rowOff>
    </xdr:from>
    <xdr:to>
      <xdr:col>6</xdr:col>
      <xdr:colOff>445941</xdr:colOff>
      <xdr:row>0</xdr:row>
      <xdr:rowOff>824230</xdr:rowOff>
    </xdr:to>
    <xdr:sp macro="" textlink="">
      <xdr:nvSpPr>
        <xdr:cNvPr id="12" name="TekstSylinder 6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767A4332-D3AF-4EF4-BC0D-3D81F3EA226F}"/>
            </a:ext>
          </a:extLst>
        </xdr:cNvPr>
        <xdr:cNvSpPr txBox="1"/>
      </xdr:nvSpPr>
      <xdr:spPr>
        <a:xfrm>
          <a:off x="2914650" y="0"/>
          <a:ext cx="220980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6</xdr:col>
      <xdr:colOff>225767</xdr:colOff>
      <xdr:row>0</xdr:row>
      <xdr:rowOff>0</xdr:rowOff>
    </xdr:from>
    <xdr:to>
      <xdr:col>9</xdr:col>
      <xdr:colOff>233387</xdr:colOff>
      <xdr:row>0</xdr:row>
      <xdr:rowOff>825500</xdr:rowOff>
    </xdr:to>
    <xdr:sp macro="" textlink="">
      <xdr:nvSpPr>
        <xdr:cNvPr id="1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90570C4-4B26-4B94-8FD0-723BF88C8DB8}"/>
            </a:ext>
          </a:extLst>
        </xdr:cNvPr>
        <xdr:cNvSpPr txBox="1"/>
      </xdr:nvSpPr>
      <xdr:spPr>
        <a:xfrm>
          <a:off x="4905375" y="0"/>
          <a:ext cx="2209800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8</xdr:col>
      <xdr:colOff>881894</xdr:colOff>
      <xdr:row>0</xdr:row>
      <xdr:rowOff>0</xdr:rowOff>
    </xdr:from>
    <xdr:to>
      <xdr:col>12</xdr:col>
      <xdr:colOff>5594</xdr:colOff>
      <xdr:row>0</xdr:row>
      <xdr:rowOff>825500</xdr:rowOff>
    </xdr:to>
    <xdr:sp macro="" textlink="">
      <xdr:nvSpPr>
        <xdr:cNvPr id="14" name="TekstSylinder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A66B796-50B2-4C3B-AB34-48E4F7046959}"/>
            </a:ext>
          </a:extLst>
        </xdr:cNvPr>
        <xdr:cNvSpPr txBox="1"/>
      </xdr:nvSpPr>
      <xdr:spPr>
        <a:xfrm>
          <a:off x="6877050" y="0"/>
          <a:ext cx="2209800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2919310</xdr:colOff>
      <xdr:row>79</xdr:row>
      <xdr:rowOff>37383</xdr:rowOff>
    </xdr:from>
    <xdr:to>
      <xdr:col>4</xdr:col>
      <xdr:colOff>4174070</xdr:colOff>
      <xdr:row>87</xdr:row>
      <xdr:rowOff>501672</xdr:rowOff>
    </xdr:to>
    <xdr:sp macro="" textlink="">
      <xdr:nvSpPr>
        <xdr:cNvPr id="95" name="Avrundet rektangel 46">
          <a:extLst>
            <a:ext uri="{FF2B5EF4-FFF2-40B4-BE49-F238E27FC236}">
              <a16:creationId xmlns:a16="http://schemas.microsoft.com/office/drawing/2014/main" id="{50E32E57-84D9-4C81-B8BA-E47096BC285E}"/>
            </a:ext>
          </a:extLst>
        </xdr:cNvPr>
        <xdr:cNvSpPr/>
      </xdr:nvSpPr>
      <xdr:spPr>
        <a:xfrm>
          <a:off x="8620125" y="29718000"/>
          <a:ext cx="6962775" cy="1990725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Tämä vastaa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998221</xdr:colOff>
      <xdr:row>67</xdr:row>
      <xdr:rowOff>142974</xdr:rowOff>
    </xdr:from>
    <xdr:to>
      <xdr:col>10</xdr:col>
      <xdr:colOff>306532</xdr:colOff>
      <xdr:row>87</xdr:row>
      <xdr:rowOff>3067684</xdr:rowOff>
    </xdr:to>
    <xdr:sp macro="" textlink="">
      <xdr:nvSpPr>
        <xdr:cNvPr id="126" name="Avrundet rektangel 31">
          <a:extLst>
            <a:ext uri="{FF2B5EF4-FFF2-40B4-BE49-F238E27FC236}">
              <a16:creationId xmlns:a16="http://schemas.microsoft.com/office/drawing/2014/main" id="{991BEC30-B724-4835-88CF-D3915C350DB6}"/>
            </a:ext>
          </a:extLst>
        </xdr:cNvPr>
        <xdr:cNvSpPr/>
      </xdr:nvSpPr>
      <xdr:spPr>
        <a:xfrm>
          <a:off x="1000125" y="27536775"/>
          <a:ext cx="24907875" cy="6734175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1127125</xdr:colOff>
      <xdr:row>6</xdr:row>
      <xdr:rowOff>133350</xdr:rowOff>
    </xdr:from>
    <xdr:to>
      <xdr:col>15</xdr:col>
      <xdr:colOff>1317625</xdr:colOff>
      <xdr:row>11</xdr:row>
      <xdr:rowOff>121596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FE7A69F6-1558-40F2-82AC-0610BBB2E6CF}"/>
            </a:ext>
          </a:extLst>
        </xdr:cNvPr>
        <xdr:cNvSpPr txBox="1"/>
      </xdr:nvSpPr>
      <xdr:spPr>
        <a:xfrm>
          <a:off x="1009650" y="1914525"/>
          <a:ext cx="35385375" cy="9429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0</xdr:col>
      <xdr:colOff>1127125</xdr:colOff>
      <xdr:row>4</xdr:row>
      <xdr:rowOff>173355</xdr:rowOff>
    </xdr:from>
    <xdr:to>
      <xdr:col>15</xdr:col>
      <xdr:colOff>1223645</xdr:colOff>
      <xdr:row>8</xdr:row>
      <xdr:rowOff>149225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413D643B-F8AF-42F9-BA9F-DB8753998721}"/>
            </a:ext>
          </a:extLst>
        </xdr:cNvPr>
        <xdr:cNvSpPr txBox="1"/>
      </xdr:nvSpPr>
      <xdr:spPr>
        <a:xfrm>
          <a:off x="1009650" y="1571625"/>
          <a:ext cx="3529012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Vaikutuslaskuri ICT-laitteille</a:t>
          </a:r>
        </a:p>
      </xdr:txBody>
    </xdr:sp>
    <xdr:clientData/>
  </xdr:twoCellAnchor>
  <xdr:twoCellAnchor>
    <xdr:from>
      <xdr:col>0</xdr:col>
      <xdr:colOff>1127125</xdr:colOff>
      <xdr:row>11</xdr:row>
      <xdr:rowOff>12769</xdr:rowOff>
    </xdr:from>
    <xdr:to>
      <xdr:col>15</xdr:col>
      <xdr:colOff>1317625</xdr:colOff>
      <xdr:row>14</xdr:row>
      <xdr:rowOff>171519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B4BC8BD3-3AA8-4C36-BC88-4A797890AA8D}"/>
            </a:ext>
          </a:extLst>
        </xdr:cNvPr>
        <xdr:cNvSpPr txBox="1"/>
      </xdr:nvSpPr>
      <xdr:spPr>
        <a:xfrm>
          <a:off x="1009650" y="2743200"/>
          <a:ext cx="3538537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Saat yksinkertaisen yleiskatsauksen yrityksesi olemassa olevien ICT-laitteiden ilmastojalanjäljestä.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709097</xdr:colOff>
      <xdr:row>38</xdr:row>
      <xdr:rowOff>781659</xdr:rowOff>
    </xdr:from>
    <xdr:to>
      <xdr:col>5</xdr:col>
      <xdr:colOff>1500162</xdr:colOff>
      <xdr:row>38</xdr:row>
      <xdr:rowOff>1535288</xdr:rowOff>
    </xdr:to>
    <xdr:sp macro="" textlink="" fLocksText="0">
      <xdr:nvSpPr>
        <xdr:cNvPr id="6" name="TekstSylinder 27">
          <a:extLst>
            <a:ext uri="{FF2B5EF4-FFF2-40B4-BE49-F238E27FC236}">
              <a16:creationId xmlns:a16="http://schemas.microsoft.com/office/drawing/2014/main" id="{7B494B78-43B6-47DB-8BC1-90180CE086B6}"/>
            </a:ext>
          </a:extLst>
        </xdr:cNvPr>
        <xdr:cNvSpPr txBox="1"/>
      </xdr:nvSpPr>
      <xdr:spPr>
        <a:xfrm>
          <a:off x="1714500" y="19230975"/>
          <a:ext cx="1560195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FFFFFF"/>
              </a:solidFill>
              <a:latin typeface="Source Sans Pro"/>
              <a:ea typeface="Source Sans Pro"/>
            </a:rPr>
            <a:t>Saat yleiskatsauksen ilmastojalanjäljestä ja kustannuksista</a:t>
          </a:r>
        </a:p>
      </xdr:txBody>
    </xdr:sp>
    <xdr:clientData/>
  </xdr:twoCellAnchor>
  <xdr:twoCellAnchor>
    <xdr:from>
      <xdr:col>0</xdr:col>
      <xdr:colOff>1011556</xdr:colOff>
      <xdr:row>44</xdr:row>
      <xdr:rowOff>38096</xdr:rowOff>
    </xdr:from>
    <xdr:to>
      <xdr:col>10</xdr:col>
      <xdr:colOff>1809750</xdr:colOff>
      <xdr:row>67</xdr:row>
      <xdr:rowOff>76192</xdr:rowOff>
    </xdr:to>
    <xdr:grpSp>
      <xdr:nvGrpSpPr>
        <xdr:cNvPr id="7" name="Gruppe 32">
          <a:extLst>
            <a:ext uri="{FF2B5EF4-FFF2-40B4-BE49-F238E27FC236}">
              <a16:creationId xmlns:a16="http://schemas.microsoft.com/office/drawing/2014/main" id="{D230964A-A4A6-4458-BE4A-44B1B1BD4338}"/>
            </a:ext>
          </a:extLst>
        </xdr:cNvPr>
        <xdr:cNvGrpSpPr>
          <a:grpSpLocks/>
        </xdr:cNvGrpSpPr>
      </xdr:nvGrpSpPr>
      <xdr:grpSpPr>
        <a:xfrm>
          <a:off x="1011556" y="22859996"/>
          <a:ext cx="28868369" cy="4200521"/>
          <a:chOff x="1441734" y="16872452"/>
          <a:chExt cx="9532671" cy="5348678"/>
        </a:xfrm>
      </xdr:grpSpPr>
      <xdr:sp macro="" textlink="">
        <xdr:nvSpPr>
          <xdr:cNvPr id="8" name="Avrundet rektangel 31">
            <a:extLst>
              <a:ext uri="{FF2B5EF4-FFF2-40B4-BE49-F238E27FC236}">
                <a16:creationId xmlns:a16="http://schemas.microsoft.com/office/drawing/2014/main" id="{748EF00A-6A99-6BC6-7F23-1B905083EAAB}"/>
              </a:ext>
            </a:extLst>
          </xdr:cNvPr>
          <xdr:cNvSpPr/>
        </xdr:nvSpPr>
        <xdr:spPr>
          <a:xfrm>
            <a:off x="1441734" y="16886771"/>
            <a:ext cx="9528180" cy="5069844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9" name="Chart 1">
            <a:extLst>
              <a:ext uri="{FF2B5EF4-FFF2-40B4-BE49-F238E27FC236}">
                <a16:creationId xmlns:a16="http://schemas.microsoft.com/office/drawing/2014/main" id="{4108DF3B-CF63-76A0-7137-37006E5A8DAD}"/>
              </a:ext>
            </a:extLst>
          </xdr:cNvPr>
          <xdr:cNvGraphicFramePr/>
        </xdr:nvGraphicFramePr>
        <xdr:xfrm>
          <a:off x="1596387" y="16872452"/>
          <a:ext cx="9378018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1245219</xdr:colOff>
      <xdr:row>72</xdr:row>
      <xdr:rowOff>46596</xdr:rowOff>
    </xdr:from>
    <xdr:to>
      <xdr:col>4</xdr:col>
      <xdr:colOff>3206750</xdr:colOff>
      <xdr:row>76</xdr:row>
      <xdr:rowOff>149345</xdr:rowOff>
    </xdr:to>
    <xdr:sp macro="" textlink="" fLocksText="0">
      <xdr:nvSpPr>
        <xdr:cNvPr id="10" name="Avrundet rektangel 28">
          <a:extLst>
            <a:ext uri="{FF2B5EF4-FFF2-40B4-BE49-F238E27FC236}">
              <a16:creationId xmlns:a16="http://schemas.microsoft.com/office/drawing/2014/main" id="{1D995995-47FB-447A-B233-1BF5EE182DDF}"/>
            </a:ext>
          </a:extLst>
        </xdr:cNvPr>
        <xdr:cNvSpPr/>
      </xdr:nvSpPr>
      <xdr:spPr>
        <a:xfrm>
          <a:off x="1009650" y="28394025"/>
          <a:ext cx="13611225" cy="866775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Nämä luvut ovat esimerkkejä indikaattoreista, joita voidaan käyttää seuraamaan ICT-laitteiden jalanjäljen kehitystä ajan mittaan. Kun avainluvut laskevat, myös ilmastojalanjälki on yleensä matkalla alaspäin.</a:t>
          </a:r>
        </a:p>
      </xdr:txBody>
    </xdr:sp>
    <xdr:clientData/>
  </xdr:twoCellAnchor>
  <xdr:twoCellAnchor>
    <xdr:from>
      <xdr:col>1</xdr:col>
      <xdr:colOff>281537</xdr:colOff>
      <xdr:row>87</xdr:row>
      <xdr:rowOff>958834</xdr:rowOff>
    </xdr:from>
    <xdr:to>
      <xdr:col>2</xdr:col>
      <xdr:colOff>1778000</xdr:colOff>
      <xdr:row>87</xdr:row>
      <xdr:rowOff>2773890</xdr:rowOff>
    </xdr:to>
    <xdr:grpSp>
      <xdr:nvGrpSpPr>
        <xdr:cNvPr id="11" name="Gruppe 14">
          <a:extLst>
            <a:ext uri="{FF2B5EF4-FFF2-40B4-BE49-F238E27FC236}">
              <a16:creationId xmlns:a16="http://schemas.microsoft.com/office/drawing/2014/main" id="{F8BF13B1-267B-4EA7-B68C-9BD87F6C25C0}"/>
            </a:ext>
          </a:extLst>
        </xdr:cNvPr>
        <xdr:cNvGrpSpPr>
          <a:grpSpLocks/>
        </xdr:cNvGrpSpPr>
      </xdr:nvGrpSpPr>
      <xdr:grpSpPr>
        <a:xfrm>
          <a:off x="1291187" y="31562659"/>
          <a:ext cx="6192288" cy="1815056"/>
          <a:chOff x="5052682" y="24164185"/>
          <a:chExt cx="3955796" cy="1988246"/>
        </a:xfrm>
      </xdr:grpSpPr>
      <xdr:sp macro="" textlink="">
        <xdr:nvSpPr>
          <xdr:cNvPr id="12" name="Avrundet rektangel 33">
            <a:extLst>
              <a:ext uri="{FF2B5EF4-FFF2-40B4-BE49-F238E27FC236}">
                <a16:creationId xmlns:a16="http://schemas.microsoft.com/office/drawing/2014/main" id="{CCCFF853-E44F-AFA3-1659-7A642638787F}"/>
              </a:ext>
            </a:extLst>
          </xdr:cNvPr>
          <xdr:cNvSpPr/>
        </xdr:nvSpPr>
        <xdr:spPr>
          <a:xfrm>
            <a:off x="5052684" y="24164185"/>
            <a:ext cx="3110999" cy="1564332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ICT-laitteiden jalanjälki työntekijää kohden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5">
        <xdr:nvSpPr>
          <xdr:cNvPr id="13" name="TekstSylinder 38">
            <a:extLst>
              <a:ext uri="{FF2B5EF4-FFF2-40B4-BE49-F238E27FC236}">
                <a16:creationId xmlns:a16="http://schemas.microsoft.com/office/drawing/2014/main" id="{449ABEFF-1F53-4013-9ABB-C0994910363F}"/>
              </a:ext>
            </a:extLst>
          </xdr:cNvPr>
          <xdr:cNvSpPr txBox="1"/>
        </xdr:nvSpPr>
        <xdr:spPr>
          <a:xfrm>
            <a:off x="5052682" y="24794524"/>
            <a:ext cx="3955796" cy="13579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2AE9EF58-CB62-4716-A60F-F32D82A150A1}" type="TxLink">
              <a:rPr lang="en-US" sz="36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3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1154332</xdr:colOff>
      <xdr:row>87</xdr:row>
      <xdr:rowOff>958834</xdr:rowOff>
    </xdr:from>
    <xdr:to>
      <xdr:col>4</xdr:col>
      <xdr:colOff>587375</xdr:colOff>
      <xdr:row>87</xdr:row>
      <xdr:rowOff>2793396</xdr:rowOff>
    </xdr:to>
    <xdr:grpSp>
      <xdr:nvGrpSpPr>
        <xdr:cNvPr id="14" name="Gruppe 45">
          <a:extLst>
            <a:ext uri="{FF2B5EF4-FFF2-40B4-BE49-F238E27FC236}">
              <a16:creationId xmlns:a16="http://schemas.microsoft.com/office/drawing/2014/main" id="{C16BD1EB-EE1A-4BF6-9732-C376BA02B30E}"/>
            </a:ext>
          </a:extLst>
        </xdr:cNvPr>
        <xdr:cNvGrpSpPr>
          <a:grpSpLocks/>
        </xdr:cNvGrpSpPr>
      </xdr:nvGrpSpPr>
      <xdr:grpSpPr>
        <a:xfrm>
          <a:off x="6859807" y="31562659"/>
          <a:ext cx="5748118" cy="1834562"/>
          <a:chOff x="14757739" y="15384668"/>
          <a:chExt cx="3757341" cy="1134325"/>
        </a:xfrm>
      </xdr:grpSpPr>
      <xdr:sp macro="" textlink="">
        <xdr:nvSpPr>
          <xdr:cNvPr id="15" name="Avrundet rektangel 46">
            <a:extLst>
              <a:ext uri="{FF2B5EF4-FFF2-40B4-BE49-F238E27FC236}">
                <a16:creationId xmlns:a16="http://schemas.microsoft.com/office/drawing/2014/main" id="{DF0B71FC-915D-B3CD-DF26-D6474E9EB052}"/>
              </a:ext>
            </a:extLst>
          </xdr:cNvPr>
          <xdr:cNvSpPr/>
        </xdr:nvSpPr>
        <xdr:spPr>
          <a:xfrm>
            <a:off x="14757739" y="15384668"/>
            <a:ext cx="3517899" cy="892469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Arvioidut kustannukset ICT-laitteista vuodessa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11">
        <xdr:nvSpPr>
          <xdr:cNvPr id="16" name="TekstSylinder 47">
            <a:extLst>
              <a:ext uri="{FF2B5EF4-FFF2-40B4-BE49-F238E27FC236}">
                <a16:creationId xmlns:a16="http://schemas.microsoft.com/office/drawing/2014/main" id="{7CEA82B1-7D46-80B8-489D-03B66905DFF1}"/>
              </a:ext>
            </a:extLst>
          </xdr:cNvPr>
          <xdr:cNvSpPr txBox="1"/>
        </xdr:nvSpPr>
        <xdr:spPr>
          <a:xfrm>
            <a:off x="14768580" y="15744293"/>
            <a:ext cx="3746500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44AE8592-9903-43E8-A323-4DFA0DD025EC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  0 NOK/vuosi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517298</xdr:colOff>
      <xdr:row>87</xdr:row>
      <xdr:rowOff>958831</xdr:rowOff>
    </xdr:from>
    <xdr:to>
      <xdr:col>5</xdr:col>
      <xdr:colOff>2597151</xdr:colOff>
      <xdr:row>87</xdr:row>
      <xdr:rowOff>2767830</xdr:rowOff>
    </xdr:to>
    <xdr:grpSp>
      <xdr:nvGrpSpPr>
        <xdr:cNvPr id="17" name="Gruppe 48">
          <a:extLst>
            <a:ext uri="{FF2B5EF4-FFF2-40B4-BE49-F238E27FC236}">
              <a16:creationId xmlns:a16="http://schemas.microsoft.com/office/drawing/2014/main" id="{E661EDB3-A025-4C34-BC21-820419FF9D12}"/>
            </a:ext>
          </a:extLst>
        </xdr:cNvPr>
        <xdr:cNvGrpSpPr>
          <a:grpSpLocks/>
        </xdr:cNvGrpSpPr>
      </xdr:nvGrpSpPr>
      <xdr:grpSpPr>
        <a:xfrm>
          <a:off x="12537848" y="31562656"/>
          <a:ext cx="7299553" cy="1808999"/>
          <a:chOff x="14574332" y="15384660"/>
          <a:chExt cx="3746499" cy="1133423"/>
        </a:xfrm>
      </xdr:grpSpPr>
      <xdr:sp macro="" textlink="">
        <xdr:nvSpPr>
          <xdr:cNvPr id="18" name="Avrundet rektangel 49">
            <a:extLst>
              <a:ext uri="{FF2B5EF4-FFF2-40B4-BE49-F238E27FC236}">
                <a16:creationId xmlns:a16="http://schemas.microsoft.com/office/drawing/2014/main" id="{7807EF0A-8D8B-8807-C0B2-DEB6A553B966}"/>
              </a:ext>
            </a:extLst>
          </xdr:cNvPr>
          <xdr:cNvSpPr/>
        </xdr:nvSpPr>
        <xdr:spPr>
          <a:xfrm>
            <a:off x="14697013" y="15384660"/>
            <a:ext cx="3200400" cy="89246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ICT-laitteiden jalanjälki työntekijää kohden vuodessa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9">
        <xdr:nvSpPr>
          <xdr:cNvPr id="19" name="TekstSylinder 50">
            <a:extLst>
              <a:ext uri="{FF2B5EF4-FFF2-40B4-BE49-F238E27FC236}">
                <a16:creationId xmlns:a16="http://schemas.microsoft.com/office/drawing/2014/main" id="{B3569C2C-1C7B-FD8C-987E-1F003D7CCFB1}"/>
              </a:ext>
            </a:extLst>
          </xdr:cNvPr>
          <xdr:cNvSpPr txBox="1"/>
        </xdr:nvSpPr>
        <xdr:spPr>
          <a:xfrm>
            <a:off x="14574332" y="15743383"/>
            <a:ext cx="3746499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9B9584A7-B21D-46D3-A613-3B4C06F94EF5}" type="TxLink">
              <a:rPr lang="en-US" sz="36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3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1258680</xdr:colOff>
      <xdr:row>69</xdr:row>
      <xdr:rowOff>25547</xdr:rowOff>
    </xdr:from>
    <xdr:to>
      <xdr:col>7</xdr:col>
      <xdr:colOff>1102766</xdr:colOff>
      <xdr:row>72</xdr:row>
      <xdr:rowOff>109281</xdr:rowOff>
    </xdr:to>
    <xdr:sp macro="" textlink="" fLocksText="0">
      <xdr:nvSpPr>
        <xdr:cNvPr id="20" name="Avrundet rektangel 53">
          <a:extLst>
            <a:ext uri="{FF2B5EF4-FFF2-40B4-BE49-F238E27FC236}">
              <a16:creationId xmlns:a16="http://schemas.microsoft.com/office/drawing/2014/main" id="{7725983F-58B8-4BC3-B9E3-994467595EC7}"/>
            </a:ext>
          </a:extLst>
        </xdr:cNvPr>
        <xdr:cNvSpPr/>
      </xdr:nvSpPr>
      <xdr:spPr>
        <a:xfrm>
          <a:off x="1009650" y="27803475"/>
          <a:ext cx="22202775" cy="657225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8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Indikaattorit</a:t>
          </a:r>
          <a:endParaRPr lang="nb-NO" sz="2400" b="1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23297</xdr:colOff>
      <xdr:row>38</xdr:row>
      <xdr:rowOff>1699811</xdr:rowOff>
    </xdr:from>
    <xdr:to>
      <xdr:col>8</xdr:col>
      <xdr:colOff>442397</xdr:colOff>
      <xdr:row>39</xdr:row>
      <xdr:rowOff>366888</xdr:rowOff>
    </xdr:to>
    <xdr:sp macro="" textlink="" fLocksText="0">
      <xdr:nvSpPr>
        <xdr:cNvPr id="21" name="TekstSylinder 54">
          <a:extLst>
            <a:ext uri="{FF2B5EF4-FFF2-40B4-BE49-F238E27FC236}">
              <a16:creationId xmlns:a16="http://schemas.microsoft.com/office/drawing/2014/main" id="{54200620-AC08-45A5-A474-5D18186C9D42}"/>
            </a:ext>
          </a:extLst>
        </xdr:cNvPr>
        <xdr:cNvSpPr txBox="1"/>
      </xdr:nvSpPr>
      <xdr:spPr>
        <a:xfrm>
          <a:off x="1028700" y="20145375"/>
          <a:ext cx="23231475" cy="12954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Valitse pudotusvalikosta, minkä tuloksen haluat nähdä.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Nouda tulos ottamalla kuvakaappaus kaaviosta tai piirtämällä oma kaaviosi kopioimalla tulos taulukosta. </a:t>
          </a:r>
        </a:p>
      </xdr:txBody>
    </xdr:sp>
    <xdr:clientData/>
  </xdr:twoCellAnchor>
  <xdr:twoCellAnchor editAs="oneCell">
    <xdr:from>
      <xdr:col>1</xdr:col>
      <xdr:colOff>310783</xdr:colOff>
      <xdr:row>45</xdr:row>
      <xdr:rowOff>138116</xdr:rowOff>
    </xdr:from>
    <xdr:to>
      <xdr:col>1</xdr:col>
      <xdr:colOff>1241376</xdr:colOff>
      <xdr:row>51</xdr:row>
      <xdr:rowOff>54836</xdr:rowOff>
    </xdr:to>
    <xdr:pic>
      <xdr:nvPicPr>
        <xdr:cNvPr id="25" name="Grafikk 24">
          <a:extLst>
            <a:ext uri="{FF2B5EF4-FFF2-40B4-BE49-F238E27FC236}">
              <a16:creationId xmlns:a16="http://schemas.microsoft.com/office/drawing/2014/main" id="{C4C27963-7846-4C77-8AEA-005ECD65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23975" y="23345775"/>
          <a:ext cx="933450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111781</xdr:colOff>
      <xdr:row>19</xdr:row>
      <xdr:rowOff>439418</xdr:rowOff>
    </xdr:from>
    <xdr:to>
      <xdr:col>6</xdr:col>
      <xdr:colOff>1792050</xdr:colOff>
      <xdr:row>20</xdr:row>
      <xdr:rowOff>2188210</xdr:rowOff>
    </xdr:to>
    <xdr:pic>
      <xdr:nvPicPr>
        <xdr:cNvPr id="26" name="Grafikk 28">
          <a:extLst>
            <a:ext uri="{FF2B5EF4-FFF2-40B4-BE49-F238E27FC236}">
              <a16:creationId xmlns:a16="http://schemas.microsoft.com/office/drawing/2014/main" id="{21D4C34E-3D2E-40AC-9C16-F2B929DC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5935325" y="5029200"/>
          <a:ext cx="6848475" cy="2705100"/>
        </a:xfrm>
        <a:prstGeom prst="rect">
          <a:avLst/>
        </a:prstGeom>
      </xdr:spPr>
    </xdr:pic>
    <xdr:clientData/>
  </xdr:twoCellAnchor>
  <xdr:twoCellAnchor>
    <xdr:from>
      <xdr:col>0</xdr:col>
      <xdr:colOff>1320800</xdr:colOff>
      <xdr:row>88</xdr:row>
      <xdr:rowOff>132643</xdr:rowOff>
    </xdr:from>
    <xdr:to>
      <xdr:col>5</xdr:col>
      <xdr:colOff>1045065</xdr:colOff>
      <xdr:row>88</xdr:row>
      <xdr:rowOff>702828</xdr:rowOff>
    </xdr:to>
    <xdr:sp macro="" textlink="">
      <xdr:nvSpPr>
        <xdr:cNvPr id="27" name="TekstSylinder 27">
          <a:extLst>
            <a:ext uri="{FF2B5EF4-FFF2-40B4-BE49-F238E27FC236}">
              <a16:creationId xmlns:a16="http://schemas.microsoft.com/office/drawing/2014/main" id="{24F1AF28-6FF1-44C9-9C18-65B54F73BDC7}"/>
            </a:ext>
          </a:extLst>
        </xdr:cNvPr>
        <xdr:cNvSpPr txBox="1"/>
      </xdr:nvSpPr>
      <xdr:spPr>
        <a:xfrm>
          <a:off x="1009650" y="34899600"/>
          <a:ext cx="158591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Yksityiskohtaiset tulokset</a:t>
          </a:r>
        </a:p>
      </xdr:txBody>
    </xdr:sp>
    <xdr:clientData/>
  </xdr:twoCellAnchor>
  <xdr:twoCellAnchor>
    <xdr:from>
      <xdr:col>1</xdr:col>
      <xdr:colOff>3810</xdr:colOff>
      <xdr:row>88</xdr:row>
      <xdr:rowOff>693420</xdr:rowOff>
    </xdr:from>
    <xdr:to>
      <xdr:col>8</xdr:col>
      <xdr:colOff>718820</xdr:colOff>
      <xdr:row>89</xdr:row>
      <xdr:rowOff>241864</xdr:rowOff>
    </xdr:to>
    <xdr:sp macro="" textlink="">
      <xdr:nvSpPr>
        <xdr:cNvPr id="28" name="TekstSylinder 54">
          <a:extLst>
            <a:ext uri="{FF2B5EF4-FFF2-40B4-BE49-F238E27FC236}">
              <a16:creationId xmlns:a16="http://schemas.microsoft.com/office/drawing/2014/main" id="{34F72D91-8CA5-4A11-AB03-9B8F2DA9FB98}"/>
            </a:ext>
          </a:extLst>
        </xdr:cNvPr>
        <xdr:cNvSpPr txBox="1"/>
      </xdr:nvSpPr>
      <xdr:spPr>
        <a:xfrm>
          <a:off x="1009650" y="35461575"/>
          <a:ext cx="235267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Haluatko esittää tuloksen itse? Kopioi alla oleva taulukko ja käytä tuloksia haluamassasi paikassa.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1249680</xdr:colOff>
      <xdr:row>19</xdr:row>
      <xdr:rowOff>24094</xdr:rowOff>
    </xdr:from>
    <xdr:to>
      <xdr:col>4</xdr:col>
      <xdr:colOff>1120140</xdr:colOff>
      <xdr:row>20</xdr:row>
      <xdr:rowOff>2806700</xdr:rowOff>
    </xdr:to>
    <xdr:sp macro="" textlink="">
      <xdr:nvSpPr>
        <xdr:cNvPr id="30" name="Avrundet rektangel 40">
          <a:extLst>
            <a:ext uri="{FF2B5EF4-FFF2-40B4-BE49-F238E27FC236}">
              <a16:creationId xmlns:a16="http://schemas.microsoft.com/office/drawing/2014/main" id="{97620E33-D950-4CEB-95CE-81747732A1C6}"/>
            </a:ext>
          </a:extLst>
        </xdr:cNvPr>
        <xdr:cNvSpPr/>
      </xdr:nvSpPr>
      <xdr:spPr>
        <a:xfrm>
          <a:off x="1009650" y="4619625"/>
          <a:ext cx="11525250" cy="374332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668214</xdr:colOff>
      <xdr:row>20</xdr:row>
      <xdr:rowOff>571852</xdr:rowOff>
    </xdr:from>
    <xdr:to>
      <xdr:col>1</xdr:col>
      <xdr:colOff>786261</xdr:colOff>
      <xdr:row>20</xdr:row>
      <xdr:rowOff>1005548</xdr:rowOff>
    </xdr:to>
    <xdr:grpSp>
      <xdr:nvGrpSpPr>
        <xdr:cNvPr id="31" name="Gruppe 30">
          <a:extLst>
            <a:ext uri="{FF2B5EF4-FFF2-40B4-BE49-F238E27FC236}">
              <a16:creationId xmlns:a16="http://schemas.microsoft.com/office/drawing/2014/main" id="{C03236F0-6B4B-4DF8-9470-6B6EA70ED7BA}"/>
            </a:ext>
          </a:extLst>
        </xdr:cNvPr>
        <xdr:cNvGrpSpPr>
          <a:grpSpLocks/>
        </xdr:cNvGrpSpPr>
      </xdr:nvGrpSpPr>
      <xdr:grpSpPr>
        <a:xfrm>
          <a:off x="1677864" y="5972527"/>
          <a:ext cx="118047" cy="43369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32" name="Ellipse 31">
            <a:extLst>
              <a:ext uri="{FF2B5EF4-FFF2-40B4-BE49-F238E27FC236}">
                <a16:creationId xmlns:a16="http://schemas.microsoft.com/office/drawing/2014/main" id="{905C1862-16D9-8199-4B87-3B291F38E2EF}"/>
              </a:ext>
            </a:extLst>
          </xdr:cNvPr>
          <xdr:cNvSpPr/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33" name="Ellipse 32">
            <a:extLst>
              <a:ext uri="{FF2B5EF4-FFF2-40B4-BE49-F238E27FC236}">
                <a16:creationId xmlns:a16="http://schemas.microsoft.com/office/drawing/2014/main" id="{01080B64-D5A3-392C-2250-34F6E7ADFD89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34" name="Ellipse 33">
            <a:extLst>
              <a:ext uri="{FF2B5EF4-FFF2-40B4-BE49-F238E27FC236}">
                <a16:creationId xmlns:a16="http://schemas.microsoft.com/office/drawing/2014/main" id="{DD8BBBC2-D7AB-5CB9-1985-445CBC6AB40F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1</xdr:col>
      <xdr:colOff>475904</xdr:colOff>
      <xdr:row>19</xdr:row>
      <xdr:rowOff>587352</xdr:rowOff>
    </xdr:from>
    <xdr:to>
      <xdr:col>4</xdr:col>
      <xdr:colOff>326609</xdr:colOff>
      <xdr:row>20</xdr:row>
      <xdr:rowOff>779712</xdr:rowOff>
    </xdr:to>
    <xdr:grpSp>
      <xdr:nvGrpSpPr>
        <xdr:cNvPr id="35" name="Gruppe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510A492-BC9A-4FE5-97B8-6CA2085341AD}"/>
            </a:ext>
          </a:extLst>
        </xdr:cNvPr>
        <xdr:cNvGrpSpPr>
          <a:grpSpLocks/>
        </xdr:cNvGrpSpPr>
      </xdr:nvGrpSpPr>
      <xdr:grpSpPr>
        <a:xfrm>
          <a:off x="1485554" y="5026002"/>
          <a:ext cx="10861605" cy="1154385"/>
          <a:chOff x="1606204" y="4951072"/>
          <a:chExt cx="8687447" cy="1149940"/>
        </a:xfrm>
      </xdr:grpSpPr>
      <xdr:sp macro="" textlink="">
        <xdr:nvSpPr>
          <xdr:cNvPr id="36" name="Ellipse 35">
            <a:extLst>
              <a:ext uri="{FF2B5EF4-FFF2-40B4-BE49-F238E27FC236}">
                <a16:creationId xmlns:a16="http://schemas.microsoft.com/office/drawing/2014/main" id="{5F5473FB-3F7E-A3D0-1720-A150702C0B19}"/>
              </a:ext>
            </a:extLst>
          </xdr:cNvPr>
          <xdr:cNvSpPr/>
        </xdr:nvSpPr>
        <xdr:spPr>
          <a:xfrm>
            <a:off x="1606204" y="5119772"/>
            <a:ext cx="414930" cy="502889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37" name="Grafikk 36">
            <a:extLst>
              <a:ext uri="{FF2B5EF4-FFF2-40B4-BE49-F238E27FC236}">
                <a16:creationId xmlns:a16="http://schemas.microsoft.com/office/drawing/2014/main" id="{1678E67F-21ED-8421-4051-9163DA3EBF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1924" y="5324352"/>
            <a:ext cx="171727" cy="395127"/>
          </a:xfrm>
          <a:prstGeom prst="rect">
            <a:avLst/>
          </a:prstGeom>
        </xdr:spPr>
      </xdr:pic>
      <xdr:grpSp>
        <xdr:nvGrpSpPr>
          <xdr:cNvPr id="38" name="Gruppe 37">
            <a:extLst>
              <a:ext uri="{FF2B5EF4-FFF2-40B4-BE49-F238E27FC236}">
                <a16:creationId xmlns:a16="http://schemas.microsoft.com/office/drawing/2014/main" id="{7D50FFC7-7685-E866-C505-1513EBA524E8}"/>
              </a:ext>
            </a:extLst>
          </xdr:cNvPr>
          <xdr:cNvGrpSpPr>
            <a:grpSpLocks/>
          </xdr:cNvGrpSpPr>
        </xdr:nvGrpSpPr>
        <xdr:grpSpPr>
          <a:xfrm>
            <a:off x="2045264" y="4951072"/>
            <a:ext cx="6654236" cy="1149940"/>
            <a:chOff x="11127124" y="5757475"/>
            <a:chExt cx="6657706" cy="1148769"/>
          </a:xfrm>
        </xdr:grpSpPr>
        <xdr:sp macro="" textlink="">
          <xdr:nvSpPr>
            <xdr:cNvPr id="39" name="Avrundet rektangel 66">
              <a:extLst>
                <a:ext uri="{FF2B5EF4-FFF2-40B4-BE49-F238E27FC236}">
                  <a16:creationId xmlns:a16="http://schemas.microsoft.com/office/drawing/2014/main" id="{70DD00D8-17B0-0C59-B14D-DDDF5FDEB4CC}"/>
                </a:ext>
              </a:extLst>
            </xdr:cNvPr>
            <xdr:cNvSpPr/>
          </xdr:nvSpPr>
          <xdr:spPr>
            <a:xfrm>
              <a:off x="11127126" y="5757475"/>
              <a:ext cx="4309337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tietosi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40" name="Avrundet rektangel 77">
              <a:extLst>
                <a:ext uri="{FF2B5EF4-FFF2-40B4-BE49-F238E27FC236}">
                  <a16:creationId xmlns:a16="http://schemas.microsoft.com/office/drawing/2014/main" id="{04E2E75B-4126-656E-074C-426261C47B6F}"/>
                </a:ext>
              </a:extLst>
            </xdr:cNvPr>
            <xdr:cNvSpPr/>
          </xdr:nvSpPr>
          <xdr:spPr>
            <a:xfrm>
              <a:off x="11127124" y="6208503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tiedot yrityksesi olemassa olevista ICT-laitteista.</a:t>
              </a:r>
            </a:p>
          </xdr:txBody>
        </xdr:sp>
      </xdr:grpSp>
    </xdr:grpSp>
    <xdr:clientData/>
  </xdr:twoCellAnchor>
  <xdr:twoCellAnchor>
    <xdr:from>
      <xdr:col>1</xdr:col>
      <xdr:colOff>475905</xdr:colOff>
      <xdr:row>20</xdr:row>
      <xdr:rowOff>1089087</xdr:rowOff>
    </xdr:from>
    <xdr:to>
      <xdr:col>4</xdr:col>
      <xdr:colOff>324691</xdr:colOff>
      <xdr:row>20</xdr:row>
      <xdr:rowOff>2227332</xdr:rowOff>
    </xdr:to>
    <xdr:grpSp>
      <xdr:nvGrpSpPr>
        <xdr:cNvPr id="41" name="Gruppe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5F9AECE-73AC-41BF-B067-BE7AB969E3B4}"/>
            </a:ext>
          </a:extLst>
        </xdr:cNvPr>
        <xdr:cNvGrpSpPr>
          <a:grpSpLocks/>
        </xdr:cNvGrpSpPr>
      </xdr:nvGrpSpPr>
      <xdr:grpSpPr>
        <a:xfrm>
          <a:off x="1485555" y="6489762"/>
          <a:ext cx="10859686" cy="1138245"/>
          <a:chOff x="1606205" y="6422450"/>
          <a:chExt cx="8685538" cy="1126232"/>
        </a:xfrm>
      </xdr:grpSpPr>
      <xdr:sp macro="" textlink="">
        <xdr:nvSpPr>
          <xdr:cNvPr id="42" name="Ellipse 50">
            <a:extLst>
              <a:ext uri="{FF2B5EF4-FFF2-40B4-BE49-F238E27FC236}">
                <a16:creationId xmlns:a16="http://schemas.microsoft.com/office/drawing/2014/main" id="{4B6449D5-A2F3-2A46-F29E-EE98FA881AA3}"/>
              </a:ext>
            </a:extLst>
          </xdr:cNvPr>
          <xdr:cNvSpPr/>
        </xdr:nvSpPr>
        <xdr:spPr>
          <a:xfrm>
            <a:off x="1606205" y="6574988"/>
            <a:ext cx="414914" cy="498681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43" name="Gruppe 82">
            <a:extLst>
              <a:ext uri="{FF2B5EF4-FFF2-40B4-BE49-F238E27FC236}">
                <a16:creationId xmlns:a16="http://schemas.microsoft.com/office/drawing/2014/main" id="{947683B7-812B-C3B7-D5BF-D160BDB7DCB7}"/>
              </a:ext>
            </a:extLst>
          </xdr:cNvPr>
          <xdr:cNvGrpSpPr>
            <a:grpSpLocks/>
          </xdr:cNvGrpSpPr>
        </xdr:nvGrpSpPr>
        <xdr:grpSpPr>
          <a:xfrm>
            <a:off x="2007778" y="6422450"/>
            <a:ext cx="7339421" cy="1126232"/>
            <a:chOff x="11089618" y="7227355"/>
            <a:chExt cx="7343248" cy="1125085"/>
          </a:xfrm>
        </xdr:grpSpPr>
        <xdr:sp macro="" textlink="">
          <xdr:nvSpPr>
            <xdr:cNvPr id="45" name="Avrundet rektangel 78">
              <a:extLst>
                <a:ext uri="{FF2B5EF4-FFF2-40B4-BE49-F238E27FC236}">
                  <a16:creationId xmlns:a16="http://schemas.microsoft.com/office/drawing/2014/main" id="{7A1C8D32-63A4-363C-1511-52A2075295DF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Saat yleiskatsauksen ilmastojalanjäljestä ja kustannuksista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46" name="Avrundet rektangel 79">
              <a:extLst>
                <a:ext uri="{FF2B5EF4-FFF2-40B4-BE49-F238E27FC236}">
                  <a16:creationId xmlns:a16="http://schemas.microsoft.com/office/drawing/2014/main" id="{1B247786-C4BB-8098-6CAD-2076E977B161}"/>
                </a:ext>
              </a:extLst>
            </xdr:cNvPr>
            <xdr:cNvSpPr/>
          </xdr:nvSpPr>
          <xdr:spPr>
            <a:xfrm>
              <a:off x="11113355" y="7656623"/>
              <a:ext cx="7319511" cy="695817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Saat yksinkertaisen yleiskatsauksen yrityksesi olemassa olevien ICT-laitteiden ilmastojalanjäljestä ja kustannuksista.</a:t>
              </a:r>
            </a:p>
          </xdr:txBody>
        </xdr:sp>
      </xdr:grpSp>
      <xdr:pic>
        <xdr:nvPicPr>
          <xdr:cNvPr id="44" name="Grafikk 80">
            <a:extLst>
              <a:ext uri="{FF2B5EF4-FFF2-40B4-BE49-F238E27FC236}">
                <a16:creationId xmlns:a16="http://schemas.microsoft.com/office/drawing/2014/main" id="{2704F8FA-90C4-2AF9-559E-70A40C6328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0026" y="6783849"/>
            <a:ext cx="171717" cy="3960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973061</xdr:colOff>
      <xdr:row>22</xdr:row>
      <xdr:rowOff>211967</xdr:rowOff>
    </xdr:from>
    <xdr:to>
      <xdr:col>4</xdr:col>
      <xdr:colOff>1667934</xdr:colOff>
      <xdr:row>23</xdr:row>
      <xdr:rowOff>462185</xdr:rowOff>
    </xdr:to>
    <xdr:sp macro="" textlink="">
      <xdr:nvSpPr>
        <xdr:cNvPr id="47" name="Avrundet rektangel 30">
          <a:extLst>
            <a:ext uri="{FF2B5EF4-FFF2-40B4-BE49-F238E27FC236}">
              <a16:creationId xmlns:a16="http://schemas.microsoft.com/office/drawing/2014/main" id="{7832636B-F42A-4CBC-9242-F1266FF71229}"/>
            </a:ext>
          </a:extLst>
        </xdr:cNvPr>
        <xdr:cNvSpPr/>
      </xdr:nvSpPr>
      <xdr:spPr>
        <a:xfrm>
          <a:off x="9972675" y="10934700"/>
          <a:ext cx="3105150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Keltaiset kentät on täytettävä</a:t>
          </a:r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2</xdr:col>
      <xdr:colOff>251153</xdr:colOff>
      <xdr:row>40</xdr:row>
      <xdr:rowOff>450152</xdr:rowOff>
    </xdr:from>
    <xdr:to>
      <xdr:col>2</xdr:col>
      <xdr:colOff>1027086</xdr:colOff>
      <xdr:row>40</xdr:row>
      <xdr:rowOff>664862</xdr:rowOff>
    </xdr:to>
    <xdr:pic>
      <xdr:nvPicPr>
        <xdr:cNvPr id="48" name="Grafikk 91">
          <a:extLst>
            <a:ext uri="{FF2B5EF4-FFF2-40B4-BE49-F238E27FC236}">
              <a16:creationId xmlns:a16="http://schemas.microsoft.com/office/drawing/2014/main" id="{EE34338A-D10B-41CB-8861-D0FA3064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 rot="10561278">
          <a:off x="5953125" y="21974175"/>
          <a:ext cx="771525" cy="219075"/>
        </a:xfrm>
        <a:prstGeom prst="rect">
          <a:avLst/>
        </a:prstGeom>
      </xdr:spPr>
    </xdr:pic>
    <xdr:clientData/>
  </xdr:twoCellAnchor>
  <xdr:twoCellAnchor>
    <xdr:from>
      <xdr:col>2</xdr:col>
      <xdr:colOff>1417560</xdr:colOff>
      <xdr:row>40</xdr:row>
      <xdr:rowOff>62591</xdr:rowOff>
    </xdr:from>
    <xdr:to>
      <xdr:col>4</xdr:col>
      <xdr:colOff>1917700</xdr:colOff>
      <xdr:row>41</xdr:row>
      <xdr:rowOff>67880</xdr:rowOff>
    </xdr:to>
    <xdr:sp macro="" textlink="">
      <xdr:nvSpPr>
        <xdr:cNvPr id="49" name="Avrundet rektangel 30">
          <a:extLst>
            <a:ext uri="{FF2B5EF4-FFF2-40B4-BE49-F238E27FC236}">
              <a16:creationId xmlns:a16="http://schemas.microsoft.com/office/drawing/2014/main" id="{1CCC9AC2-583C-46F8-8445-F8C207F7F9B4}"/>
            </a:ext>
          </a:extLst>
        </xdr:cNvPr>
        <xdr:cNvSpPr/>
      </xdr:nvSpPr>
      <xdr:spPr>
        <a:xfrm>
          <a:off x="7124700" y="21593175"/>
          <a:ext cx="6210300" cy="86677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Valitse pudotusvalikosta, minkä tuloksen haluat nähdä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1161142</xdr:colOff>
      <xdr:row>40</xdr:row>
      <xdr:rowOff>167795</xdr:rowOff>
    </xdr:from>
    <xdr:to>
      <xdr:col>2</xdr:col>
      <xdr:colOff>1486478</xdr:colOff>
      <xdr:row>40</xdr:row>
      <xdr:rowOff>496941</xdr:rowOff>
    </xdr:to>
    <xdr:pic>
      <xdr:nvPicPr>
        <xdr:cNvPr id="50" name="Grafikk 49">
          <a:extLst>
            <a:ext uri="{FF2B5EF4-FFF2-40B4-BE49-F238E27FC236}">
              <a16:creationId xmlns:a16="http://schemas.microsoft.com/office/drawing/2014/main" id="{31097C5B-E973-4DE3-8822-E5622296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6867525" y="21697950"/>
          <a:ext cx="323850" cy="333375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21</xdr:row>
      <xdr:rowOff>447451</xdr:rowOff>
    </xdr:from>
    <xdr:to>
      <xdr:col>2</xdr:col>
      <xdr:colOff>2667000</xdr:colOff>
      <xdr:row>21</xdr:row>
      <xdr:rowOff>1069751</xdr:rowOff>
    </xdr:to>
    <xdr:sp macro="" textlink="">
      <xdr:nvSpPr>
        <xdr:cNvPr id="51" name="Avrundet rektangel 94">
          <a:extLst>
            <a:ext uri="{FF2B5EF4-FFF2-40B4-BE49-F238E27FC236}">
              <a16:creationId xmlns:a16="http://schemas.microsoft.com/office/drawing/2014/main" id="{4EFEA18F-9A06-4D4C-A9C3-BBB33ECFB308}"/>
            </a:ext>
          </a:extLst>
        </xdr:cNvPr>
        <xdr:cNvSpPr/>
      </xdr:nvSpPr>
      <xdr:spPr>
        <a:xfrm>
          <a:off x="1504950" y="9810750"/>
          <a:ext cx="6867525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Täytä tietosi</a:t>
          </a:r>
        </a:p>
      </xdr:txBody>
    </xdr:sp>
    <xdr:clientData/>
  </xdr:twoCellAnchor>
  <xdr:twoCellAnchor editAs="oneCell">
    <xdr:from>
      <xdr:col>3</xdr:col>
      <xdr:colOff>673100</xdr:colOff>
      <xdr:row>23</xdr:row>
      <xdr:rowOff>36340</xdr:rowOff>
    </xdr:from>
    <xdr:to>
      <xdr:col>3</xdr:col>
      <xdr:colOff>1011682</xdr:colOff>
      <xdr:row>23</xdr:row>
      <xdr:rowOff>380002</xdr:rowOff>
    </xdr:to>
    <xdr:pic>
      <xdr:nvPicPr>
        <xdr:cNvPr id="52" name="Grafikk 51">
          <a:extLst>
            <a:ext uri="{FF2B5EF4-FFF2-40B4-BE49-F238E27FC236}">
              <a16:creationId xmlns:a16="http://schemas.microsoft.com/office/drawing/2014/main" id="{EC2CE317-8634-4648-BDE7-0574CAD43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9677400" y="11029950"/>
          <a:ext cx="342900" cy="342900"/>
        </a:xfrm>
        <a:prstGeom prst="rect">
          <a:avLst/>
        </a:prstGeom>
      </xdr:spPr>
    </xdr:pic>
    <xdr:clientData/>
  </xdr:twoCellAnchor>
  <xdr:twoCellAnchor>
    <xdr:from>
      <xdr:col>1</xdr:col>
      <xdr:colOff>139698</xdr:colOff>
      <xdr:row>21</xdr:row>
      <xdr:rowOff>567689</xdr:rowOff>
    </xdr:from>
    <xdr:to>
      <xdr:col>1</xdr:col>
      <xdr:colOff>714812</xdr:colOff>
      <xdr:row>21</xdr:row>
      <xdr:rowOff>1143689</xdr:rowOff>
    </xdr:to>
    <xdr:sp macro="" textlink="">
      <xdr:nvSpPr>
        <xdr:cNvPr id="53" name="Ellipse 29">
          <a:extLst>
            <a:ext uri="{FF2B5EF4-FFF2-40B4-BE49-F238E27FC236}">
              <a16:creationId xmlns:a16="http://schemas.microsoft.com/office/drawing/2014/main" id="{48B766F7-22C9-4A08-B114-8D03B2299371}"/>
            </a:ext>
          </a:extLst>
        </xdr:cNvPr>
        <xdr:cNvSpPr>
          <a:spLocks noChangeAspect="1"/>
        </xdr:cNvSpPr>
      </xdr:nvSpPr>
      <xdr:spPr>
        <a:xfrm>
          <a:off x="1152525" y="993457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50799</xdr:colOff>
      <xdr:row>38</xdr:row>
      <xdr:rowOff>874887</xdr:rowOff>
    </xdr:from>
    <xdr:to>
      <xdr:col>1</xdr:col>
      <xdr:colOff>625913</xdr:colOff>
      <xdr:row>38</xdr:row>
      <xdr:rowOff>1450887</xdr:rowOff>
    </xdr:to>
    <xdr:sp macro="" textlink="">
      <xdr:nvSpPr>
        <xdr:cNvPr id="54" name="Ellipse 29">
          <a:extLst>
            <a:ext uri="{FF2B5EF4-FFF2-40B4-BE49-F238E27FC236}">
              <a16:creationId xmlns:a16="http://schemas.microsoft.com/office/drawing/2014/main" id="{4897EC28-9DE5-4302-A690-EDFB96FFD097}"/>
            </a:ext>
          </a:extLst>
        </xdr:cNvPr>
        <xdr:cNvSpPr>
          <a:spLocks noChangeAspect="1"/>
        </xdr:cNvSpPr>
      </xdr:nvSpPr>
      <xdr:spPr>
        <a:xfrm>
          <a:off x="1057275" y="1932622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846901</xdr:colOff>
      <xdr:row>36</xdr:row>
      <xdr:rowOff>88031</xdr:rowOff>
    </xdr:from>
    <xdr:to>
      <xdr:col>4</xdr:col>
      <xdr:colOff>1171042</xdr:colOff>
      <xdr:row>36</xdr:row>
      <xdr:rowOff>303121</xdr:rowOff>
    </xdr:to>
    <xdr:pic>
      <xdr:nvPicPr>
        <xdr:cNvPr id="77" name="Grafikk 22">
          <a:extLst>
            <a:ext uri="{FF2B5EF4-FFF2-40B4-BE49-F238E27FC236}">
              <a16:creationId xmlns:a16="http://schemas.microsoft.com/office/drawing/2014/main" id="{55F6EFB8-96F1-44A3-97CD-571213B6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 rot="2687806">
          <a:off x="13213526" y="16534531"/>
          <a:ext cx="324141" cy="215090"/>
        </a:xfrm>
        <a:prstGeom prst="rect">
          <a:avLst/>
        </a:prstGeom>
      </xdr:spPr>
    </xdr:pic>
    <xdr:clientData/>
  </xdr:twoCellAnchor>
  <xdr:twoCellAnchor>
    <xdr:from>
      <xdr:col>3</xdr:col>
      <xdr:colOff>465656</xdr:colOff>
      <xdr:row>35</xdr:row>
      <xdr:rowOff>328797</xdr:rowOff>
    </xdr:from>
    <xdr:to>
      <xdr:col>4</xdr:col>
      <xdr:colOff>2213195</xdr:colOff>
      <xdr:row>36</xdr:row>
      <xdr:rowOff>335991</xdr:rowOff>
    </xdr:to>
    <xdr:sp macro="" textlink="">
      <xdr:nvSpPr>
        <xdr:cNvPr id="78" name="Avrundet rektangel 30">
          <a:extLst>
            <a:ext uri="{FF2B5EF4-FFF2-40B4-BE49-F238E27FC236}">
              <a16:creationId xmlns:a16="http://schemas.microsoft.com/office/drawing/2014/main" id="{A64A2A63-4990-421A-B140-8457B1EAD317}"/>
            </a:ext>
          </a:extLst>
        </xdr:cNvPr>
        <xdr:cNvSpPr/>
      </xdr:nvSpPr>
      <xdr:spPr>
        <a:xfrm>
          <a:off x="9718513" y="16371618"/>
          <a:ext cx="4224039" cy="524266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Vieritä nähdäksesi tuloksesi</a:t>
          </a:r>
        </a:p>
      </xdr:txBody>
    </xdr:sp>
    <xdr:clientData/>
  </xdr:twoCellAnchor>
  <xdr:twoCellAnchor>
    <xdr:from>
      <xdr:col>4</xdr:col>
      <xdr:colOff>2149848</xdr:colOff>
      <xdr:row>30</xdr:row>
      <xdr:rowOff>169143</xdr:rowOff>
    </xdr:from>
    <xdr:to>
      <xdr:col>7</xdr:col>
      <xdr:colOff>1768735</xdr:colOff>
      <xdr:row>36</xdr:row>
      <xdr:rowOff>232261</xdr:rowOff>
    </xdr:to>
    <xdr:grpSp>
      <xdr:nvGrpSpPr>
        <xdr:cNvPr id="22" name="Gruppe 21">
          <a:extLst>
            <a:ext uri="{FF2B5EF4-FFF2-40B4-BE49-F238E27FC236}">
              <a16:creationId xmlns:a16="http://schemas.microsoft.com/office/drawing/2014/main" id="{2EBF5130-65FC-97E6-C26F-3DD1E73689E2}"/>
            </a:ext>
          </a:extLst>
        </xdr:cNvPr>
        <xdr:cNvGrpSpPr>
          <a:grpSpLocks/>
        </xdr:cNvGrpSpPr>
      </xdr:nvGrpSpPr>
      <xdr:grpSpPr>
        <a:xfrm>
          <a:off x="14170398" y="13675593"/>
          <a:ext cx="12115687" cy="3092068"/>
          <a:chOff x="17229043" y="13780704"/>
          <a:chExt cx="11217088" cy="3081086"/>
        </a:xfrm>
      </xdr:grpSpPr>
      <xdr:grpSp>
        <xdr:nvGrpSpPr>
          <xdr:cNvPr id="59" name="Gruppe 58">
            <a:extLst>
              <a:ext uri="{FF2B5EF4-FFF2-40B4-BE49-F238E27FC236}">
                <a16:creationId xmlns:a16="http://schemas.microsoft.com/office/drawing/2014/main" id="{0DC754E3-3626-4F55-9B5B-56322460F3A9}"/>
              </a:ext>
            </a:extLst>
          </xdr:cNvPr>
          <xdr:cNvGrpSpPr>
            <a:grpSpLocks/>
          </xdr:cNvGrpSpPr>
        </xdr:nvGrpSpPr>
        <xdr:grpSpPr>
          <a:xfrm>
            <a:off x="17229043" y="13780704"/>
            <a:ext cx="11217088" cy="3081086"/>
            <a:chOff x="1576062" y="12788159"/>
            <a:chExt cx="8088998" cy="3100958"/>
          </a:xfrm>
        </xdr:grpSpPr>
        <xdr:sp macro="" textlink="" fLocksText="0">
          <xdr:nvSpPr>
            <xdr:cNvPr id="60" name="Avrundet rektangel 40">
              <a:extLst>
                <a:ext uri="{FF2B5EF4-FFF2-40B4-BE49-F238E27FC236}">
                  <a16:creationId xmlns:a16="http://schemas.microsoft.com/office/drawing/2014/main" id="{3F79D7D4-E0E9-ADDE-FAF1-9B9D5E118B8F}"/>
                </a:ext>
              </a:extLst>
            </xdr:cNvPr>
            <xdr:cNvSpPr/>
          </xdr:nvSpPr>
          <xdr:spPr>
            <a:xfrm>
              <a:off x="1576062" y="12788159"/>
              <a:ext cx="8088998" cy="3100958"/>
            </a:xfrm>
            <a:prstGeom prst="roundRect">
              <a:avLst>
                <a:gd name="adj" fmla="val 10447"/>
              </a:avLst>
            </a:prstGeom>
            <a:solidFill>
              <a:schemeClr val="accent2">
                <a:alpha val="15000"/>
              </a:schemeClr>
            </a:solidFill>
            <a:ln>
              <a:solidFill>
                <a:schemeClr val="bg2">
                  <a:lumMod val="75000"/>
                  <a:alpha val="11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731520" rIns="0" bIns="9144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1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Haluaisitko lisätietoja työkalusta ja tiedoista, joihin se perustuu? </a:t>
              </a:r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Katso tämän työkalun tietojen yleiskatsaus tai lataa vastaava opas DFØ:n sivuilta.</a:t>
              </a:r>
              <a:r>
                <a:rPr lang="nb-NO" sz="2000" b="1" i="0" u="non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</a:p>
            <a:p>
              <a:pPr>
                <a:defRPr lang="nb-NO" sz="2000" b="1" i="0" u="non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/>
            </a:p>
          </xdr:txBody>
        </xdr:sp>
        <xdr:pic>
          <xdr:nvPicPr>
            <xdr:cNvPr id="61" name="Grafikk 303">
              <a:extLst>
                <a:ext uri="{FF2B5EF4-FFF2-40B4-BE49-F238E27FC236}">
                  <a16:creationId xmlns:a16="http://schemas.microsoft.com/office/drawing/2014/main" id="{EA8880F6-5529-ADD1-0F5D-FEA8C9C4A3A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>
              <a:extLst>
                <a:ext uri="{96DAC541-7B7A-43D3-8B79-37D633B846F1}">
                  <asvg:svgBlip xmlns:asvg="http://schemas.microsoft.com/office/drawing/2016/SVG/main" r:embed="rId17"/>
                </a:ext>
              </a:extLst>
            </a:blip>
            <a:stretch>
              <a:fillRect/>
            </a:stretch>
          </xdr:blipFill>
          <xdr:spPr>
            <a:xfrm>
              <a:off x="1882073" y="13112911"/>
              <a:ext cx="274481" cy="360967"/>
            </a:xfrm>
            <a:prstGeom prst="rect">
              <a:avLst/>
            </a:prstGeom>
          </xdr:spPr>
        </xdr:pic>
        <xdr:grpSp>
          <xdr:nvGrpSpPr>
            <xdr:cNvPr id="62" name="Gruppe 579">
              <a:extLst>
                <a:ext uri="{FF2B5EF4-FFF2-40B4-BE49-F238E27FC236}">
                  <a16:creationId xmlns:a16="http://schemas.microsoft.com/office/drawing/2014/main" id="{C7BBFE8A-99BC-AFE6-1F72-37E67887B6E7}"/>
                </a:ext>
              </a:extLst>
            </xdr:cNvPr>
            <xdr:cNvGrpSpPr>
              <a:grpSpLocks/>
            </xdr:cNvGrpSpPr>
          </xdr:nvGrpSpPr>
          <xdr:grpSpPr>
            <a:xfrm>
              <a:off x="6224926" y="14478052"/>
              <a:ext cx="3142771" cy="1021521"/>
              <a:chOff x="6141804" y="13235439"/>
              <a:chExt cx="3111171" cy="988607"/>
            </a:xfrm>
          </xdr:grpSpPr>
          <xdr:sp macro="" textlink="">
            <xdr:nvSpPr>
              <xdr:cNvPr id="63" name="Avrundet rektangel 40">
                <a:hlinkClick xmlns:r="http://schemas.openxmlformats.org/officeDocument/2006/relationships" r:id="rId18"/>
                <a:extLst>
                  <a:ext uri="{FF2B5EF4-FFF2-40B4-BE49-F238E27FC236}">
                    <a16:creationId xmlns:a16="http://schemas.microsoft.com/office/drawing/2014/main" id="{ADE21C1B-CBF7-E902-5200-758ED39A1743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6146416" y="13786032"/>
                <a:ext cx="3083788" cy="438014"/>
              </a:xfrm>
              <a:prstGeom prst="roundRect">
                <a:avLst>
                  <a:gd name="adj" fmla="val 46506"/>
                </a:avLst>
              </a:prstGeom>
              <a:solidFill>
                <a:schemeClr val="bg1">
                  <a:alpha val="96000"/>
                </a:schemeClr>
              </a:solidFill>
              <a:ln>
                <a:solidFill>
                  <a:schemeClr val="tx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002E49"/>
                    </a:solidFill>
                    <a:effectLst/>
                    <a:latin typeface="Source Sans Pro"/>
                    <a:ea typeface="Source Sans Pro"/>
                  </a:rPr>
                  <a:t>Opas (DFØ:n sivut)</a:t>
                </a:r>
              </a:p>
            </xdr:txBody>
          </xdr:sp>
          <xdr:grpSp>
            <xdr:nvGrpSpPr>
              <xdr:cNvPr id="64" name="Gruppe 305">
                <a:extLst>
                  <a:ext uri="{FF2B5EF4-FFF2-40B4-BE49-F238E27FC236}">
                    <a16:creationId xmlns:a16="http://schemas.microsoft.com/office/drawing/2014/main" id="{219F1049-B4B5-9905-4AEA-16C864C11196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6141804" y="13235439"/>
                <a:ext cx="3111171" cy="438015"/>
                <a:chOff x="18893763" y="6766290"/>
                <a:chExt cx="2660319" cy="508001"/>
              </a:xfrm>
            </xdr:grpSpPr>
            <xdr:sp macro="" textlink="">
              <xdr:nvSpPr>
                <xdr:cNvPr id="66" name="Avrundet rektangel 40">
                  <a:hlinkClick xmlns:r="http://schemas.openxmlformats.org/officeDocument/2006/relationships" r:id="rId19"/>
                  <a:extLst>
                    <a:ext uri="{FF2B5EF4-FFF2-40B4-BE49-F238E27FC236}">
                      <a16:creationId xmlns:a16="http://schemas.microsoft.com/office/drawing/2014/main" id="{965D9E66-78AA-6246-F3D9-1D6376C20BAE}"/>
                    </a:ext>
                  </a:extLst>
                </xdr:cNvPr>
                <xdr:cNvSpPr>
                  <a:spLocks noChangeAspect="1"/>
                </xdr:cNvSpPr>
              </xdr:nvSpPr>
              <xdr:spPr>
                <a:xfrm>
                  <a:off x="18893763" y="6766290"/>
                  <a:ext cx="2660319" cy="508001"/>
                </a:xfrm>
                <a:prstGeom prst="roundRect">
                  <a:avLst>
                    <a:gd name="adj" fmla="val 46506"/>
                  </a:avLst>
                </a:prstGeom>
                <a:solidFill>
                  <a:srgbClr val="005072"/>
                </a:solidFill>
                <a:ln>
                  <a:solidFill>
                    <a:schemeClr val="bg1">
                      <a:alpha val="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274320" tIns="0" rIns="91440" bIns="18288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rtl="0" fontAlgn="base"/>
                  <a:r>
                    <a:rPr lang="nb-NO" sz="2000" b="0" i="0" u="none" baseline="0">
                      <a:solidFill>
                        <a:srgbClr val="FFFFFF"/>
                      </a:solidFill>
                      <a:effectLst/>
                      <a:latin typeface="Source Sans Pro"/>
                      <a:ea typeface="Source Sans Pro"/>
                    </a:rPr>
                    <a:t>Tietojen perusta</a:t>
                  </a:r>
                </a:p>
              </xdr:txBody>
            </xdr:sp>
            <xdr:pic>
              <xdr:nvPicPr>
                <xdr:cNvPr id="67" name="Grafikk 25">
                  <a:extLst>
                    <a:ext uri="{FF2B5EF4-FFF2-40B4-BE49-F238E27FC236}">
                      <a16:creationId xmlns:a16="http://schemas.microsoft.com/office/drawing/2014/main" id="{9445A145-69AD-9095-98FC-5A72126DDC5C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0">
                  <a:extLst>
                    <a:ext uri="{96DAC541-7B7A-43D3-8B79-37D633B846F1}">
                      <asvg:svgBlip xmlns:asvg="http://schemas.microsoft.com/office/drawing/2016/SVG/main" r:embed="rId21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21272497" y="6863889"/>
                  <a:ext cx="101460" cy="293627"/>
                </a:xfrm>
                <a:prstGeom prst="rect">
                  <a:avLst/>
                </a:prstGeom>
              </xdr:spPr>
            </xdr:pic>
          </xdr:grpSp>
        </xdr:grpSp>
      </xdr:grpSp>
      <xdr:pic>
        <xdr:nvPicPr>
          <xdr:cNvPr id="87" name="Grafikk 25">
            <a:extLst>
              <a:ext uri="{FF2B5EF4-FFF2-40B4-BE49-F238E27FC236}">
                <a16:creationId xmlns:a16="http://schemas.microsoft.com/office/drawing/2014/main" id="{19AC947A-2418-464E-B0BE-6B90516264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27582463" y="16117633"/>
            <a:ext cx="172800" cy="28670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127001</xdr:colOff>
      <xdr:row>79</xdr:row>
      <xdr:rowOff>23492</xdr:rowOff>
    </xdr:from>
    <xdr:to>
      <xdr:col>4</xdr:col>
      <xdr:colOff>4175126</xdr:colOff>
      <xdr:row>87</xdr:row>
      <xdr:rowOff>493029</xdr:rowOff>
    </xdr:to>
    <xdr:grpSp>
      <xdr:nvGrpSpPr>
        <xdr:cNvPr id="88" name="Gruppe 45">
          <a:extLst>
            <a:ext uri="{FF2B5EF4-FFF2-40B4-BE49-F238E27FC236}">
              <a16:creationId xmlns:a16="http://schemas.microsoft.com/office/drawing/2014/main" id="{D8EDD53C-21B6-434C-9C3E-AF73C930897F}"/>
            </a:ext>
          </a:extLst>
        </xdr:cNvPr>
        <xdr:cNvGrpSpPr>
          <a:grpSpLocks/>
        </xdr:cNvGrpSpPr>
      </xdr:nvGrpSpPr>
      <xdr:grpSpPr>
        <a:xfrm>
          <a:off x="1136651" y="29179517"/>
          <a:ext cx="15059025" cy="1917337"/>
          <a:chOff x="14712622" y="16070058"/>
          <a:chExt cx="4199000" cy="1187018"/>
        </a:xfrm>
      </xdr:grpSpPr>
      <xdr:sp macro="" textlink="">
        <xdr:nvSpPr>
          <xdr:cNvPr id="89" name="Avrundet rektangel 46">
            <a:extLst>
              <a:ext uri="{FF2B5EF4-FFF2-40B4-BE49-F238E27FC236}">
                <a16:creationId xmlns:a16="http://schemas.microsoft.com/office/drawing/2014/main" id="{8306B876-6E20-07CA-0D60-0B59CFB62DD1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ICT-laitteiden ilmastojalanjälki vuodessa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7">
        <xdr:nvSpPr>
          <xdr:cNvPr id="90" name="TekstSylinder 47">
            <a:extLst>
              <a:ext uri="{FF2B5EF4-FFF2-40B4-BE49-F238E27FC236}">
                <a16:creationId xmlns:a16="http://schemas.microsoft.com/office/drawing/2014/main" id="{3745F6A2-4FE3-A939-ADC3-AFFCAF823073}"/>
              </a:ext>
            </a:extLst>
          </xdr:cNvPr>
          <xdr:cNvSpPr txBox="1"/>
        </xdr:nvSpPr>
        <xdr:spPr>
          <a:xfrm>
            <a:off x="14712622" y="16491958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414BCB77-C588-4153-920E-A77FD638882B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2915860</xdr:colOff>
      <xdr:row>81</xdr:row>
      <xdr:rowOff>63494</xdr:rowOff>
    </xdr:from>
    <xdr:to>
      <xdr:col>5</xdr:col>
      <xdr:colOff>903185</xdr:colOff>
      <xdr:row>87</xdr:row>
      <xdr:rowOff>185390</xdr:rowOff>
    </xdr:to>
    <xdr:grpSp>
      <xdr:nvGrpSpPr>
        <xdr:cNvPr id="91" name="Gruppe 54">
          <a:extLst>
            <a:ext uri="{FF2B5EF4-FFF2-40B4-BE49-F238E27FC236}">
              <a16:creationId xmlns:a16="http://schemas.microsoft.com/office/drawing/2014/main" id="{1EB6D634-E940-40B2-A409-E765DB784ED4}"/>
            </a:ext>
          </a:extLst>
        </xdr:cNvPr>
        <xdr:cNvGrpSpPr>
          <a:grpSpLocks/>
        </xdr:cNvGrpSpPr>
      </xdr:nvGrpSpPr>
      <xdr:grpSpPr>
        <a:xfrm>
          <a:off x="8621335" y="29581469"/>
          <a:ext cx="9522100" cy="1207746"/>
          <a:chOff x="6238502" y="27009283"/>
          <a:chExt cx="3973363" cy="1268175"/>
        </a:xfrm>
      </xdr:grpSpPr>
      <xdr:sp macro="" textlink="$C$108">
        <xdr:nvSpPr>
          <xdr:cNvPr id="92" name="TekstSylinder 47">
            <a:extLst>
              <a:ext uri="{FF2B5EF4-FFF2-40B4-BE49-F238E27FC236}">
                <a16:creationId xmlns:a16="http://schemas.microsoft.com/office/drawing/2014/main" id="{E23618A3-3F69-9847-5628-309BE5E4B41F}"/>
              </a:ext>
            </a:extLst>
          </xdr:cNvPr>
          <xdr:cNvSpPr txBox="1"/>
        </xdr:nvSpPr>
        <xdr:spPr>
          <a:xfrm>
            <a:off x="6238502" y="27261586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B221B303-FAE9-42A3-952F-9CA3E22BD055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lennot</a:t>
            </a:fld>
            <a:endParaRPr lang="nb-NO" sz="7200" b="1">
              <a:solidFill>
                <a:schemeClr val="bg1"/>
              </a:solidFill>
            </a:endParaRPr>
          </a:p>
        </xdr:txBody>
      </xdr:sp>
      <xdr:sp macro="" textlink="">
        <xdr:nvSpPr>
          <xdr:cNvPr id="93" name="TekstSylinder 47">
            <a:extLst>
              <a:ext uri="{FF2B5EF4-FFF2-40B4-BE49-F238E27FC236}">
                <a16:creationId xmlns:a16="http://schemas.microsoft.com/office/drawing/2014/main" id="{64333287-967F-B73B-9891-7893E001A0AB}"/>
              </a:ext>
            </a:extLst>
          </xdr:cNvPr>
          <xdr:cNvSpPr txBox="1"/>
        </xdr:nvSpPr>
        <xdr:spPr>
          <a:xfrm>
            <a:off x="6270061" y="27907524"/>
            <a:ext cx="3941804" cy="3699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Meno-paluu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  <xdr:pic>
        <xdr:nvPicPr>
          <xdr:cNvPr id="94" name="Grafikk 56">
            <a:extLst>
              <a:ext uri="{FF2B5EF4-FFF2-40B4-BE49-F238E27FC236}">
                <a16:creationId xmlns:a16="http://schemas.microsoft.com/office/drawing/2014/main" id="{E812ED77-A57E-E93B-269B-46E2C38F2C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 rot="18900000">
            <a:off x="8837572" y="27009283"/>
            <a:ext cx="475753" cy="11614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0</xdr:row>
      <xdr:rowOff>13970</xdr:rowOff>
    </xdr:from>
    <xdr:to>
      <xdr:col>1</xdr:col>
      <xdr:colOff>2913380</xdr:colOff>
      <xdr:row>1</xdr:row>
      <xdr:rowOff>6350</xdr:rowOff>
    </xdr:to>
    <xdr:sp macro="" textlink="">
      <xdr:nvSpPr>
        <xdr:cNvPr id="2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9C8187D-F104-4CBC-8FC3-EFEEB263125C}"/>
            </a:ext>
          </a:extLst>
        </xdr:cNvPr>
        <xdr:cNvSpPr txBox="1"/>
      </xdr:nvSpPr>
      <xdr:spPr>
        <a:xfrm>
          <a:off x="1009650" y="9525"/>
          <a:ext cx="29146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l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2206161</xdr:colOff>
      <xdr:row>0</xdr:row>
      <xdr:rowOff>1270</xdr:rowOff>
    </xdr:from>
    <xdr:to>
      <xdr:col>1</xdr:col>
      <xdr:colOff>4865541</xdr:colOff>
      <xdr:row>0</xdr:row>
      <xdr:rowOff>824230</xdr:rowOff>
    </xdr:to>
    <xdr:sp macro="" textlink="">
      <xdr:nvSpPr>
        <xdr:cNvPr id="24" name="TekstSylinder 6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217E3BEA-F71F-417F-9EDC-EC498F1108F1}"/>
            </a:ext>
          </a:extLst>
        </xdr:cNvPr>
        <xdr:cNvSpPr txBox="1"/>
      </xdr:nvSpPr>
      <xdr:spPr>
        <a:xfrm>
          <a:off x="3219450" y="0"/>
          <a:ext cx="24860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1</xdr:col>
      <xdr:colOff>4645367</xdr:colOff>
      <xdr:row>0</xdr:row>
      <xdr:rowOff>0</xdr:rowOff>
    </xdr:from>
    <xdr:to>
      <xdr:col>2</xdr:col>
      <xdr:colOff>1673567</xdr:colOff>
      <xdr:row>0</xdr:row>
      <xdr:rowOff>825500</xdr:rowOff>
    </xdr:to>
    <xdr:sp macro="" textlink="">
      <xdr:nvSpPr>
        <xdr:cNvPr id="58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987ABB9B-C85A-4689-AB1D-8F6156E5A0EE}"/>
            </a:ext>
          </a:extLst>
        </xdr:cNvPr>
        <xdr:cNvSpPr txBox="1"/>
      </xdr:nvSpPr>
      <xdr:spPr>
        <a:xfrm>
          <a:off x="5657850" y="0"/>
          <a:ext cx="1724025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1438154</xdr:colOff>
      <xdr:row>0</xdr:row>
      <xdr:rowOff>0</xdr:rowOff>
    </xdr:from>
    <xdr:to>
      <xdr:col>3</xdr:col>
      <xdr:colOff>455174</xdr:colOff>
      <xdr:row>0</xdr:row>
      <xdr:rowOff>825500</xdr:rowOff>
    </xdr:to>
    <xdr:sp macro="" textlink="">
      <xdr:nvSpPr>
        <xdr:cNvPr id="65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9001B79-B09E-4B56-A6C2-2DC098AC3311}"/>
            </a:ext>
          </a:extLst>
        </xdr:cNvPr>
        <xdr:cNvSpPr txBox="1"/>
      </xdr:nvSpPr>
      <xdr:spPr>
        <a:xfrm>
          <a:off x="7143750" y="0"/>
          <a:ext cx="2314575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417829</xdr:colOff>
      <xdr:row>0</xdr:row>
      <xdr:rowOff>248139</xdr:rowOff>
    </xdr:from>
    <xdr:to>
      <xdr:col>0</xdr:col>
      <xdr:colOff>855034</xdr:colOff>
      <xdr:row>0</xdr:row>
      <xdr:rowOff>631224</xdr:rowOff>
    </xdr:to>
    <xdr:pic>
      <xdr:nvPicPr>
        <xdr:cNvPr id="69" name="Grafikk 1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8470AF-493D-4BF8-A0C0-6FC80E94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>
          <a:fillRect/>
        </a:stretch>
      </xdr:blipFill>
      <xdr:spPr>
        <a:xfrm>
          <a:off x="419100" y="247650"/>
          <a:ext cx="438150" cy="381000"/>
        </a:xfrm>
        <a:prstGeom prst="rect">
          <a:avLst/>
        </a:prstGeom>
      </xdr:spPr>
    </xdr:pic>
    <xdr:clientData/>
  </xdr:twoCellAnchor>
  <xdr:twoCellAnchor>
    <xdr:from>
      <xdr:col>1</xdr:col>
      <xdr:colOff>512446</xdr:colOff>
      <xdr:row>51</xdr:row>
      <xdr:rowOff>101596</xdr:rowOff>
    </xdr:from>
    <xdr:to>
      <xdr:col>1</xdr:col>
      <xdr:colOff>4494984</xdr:colOff>
      <xdr:row>65</xdr:row>
      <xdr:rowOff>33020</xdr:rowOff>
    </xdr:to>
    <xdr:sp macro="" textlink="$B$41">
      <xdr:nvSpPr>
        <xdr:cNvPr id="2" name="TextBox 26">
          <a:extLst>
            <a:ext uri="{FF2B5EF4-FFF2-40B4-BE49-F238E27FC236}">
              <a16:creationId xmlns:a16="http://schemas.microsoft.com/office/drawing/2014/main" id="{9DB156BE-9740-4E46-8D62-8B6BC639CB72}"/>
            </a:ext>
          </a:extLst>
        </xdr:cNvPr>
        <xdr:cNvSpPr txBox="1"/>
      </xdr:nvSpPr>
      <xdr:spPr>
        <a:xfrm>
          <a:off x="1524000" y="24450675"/>
          <a:ext cx="3981450" cy="26003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0FDE2915-3C31-4A78-B1F2-E648249E74D5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Jalanjälki, vuodessa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1631245</xdr:colOff>
      <xdr:row>18</xdr:row>
      <xdr:rowOff>546100</xdr:rowOff>
    </xdr:from>
    <xdr:to>
      <xdr:col>10</xdr:col>
      <xdr:colOff>939800</xdr:colOff>
      <xdr:row>30</xdr:row>
      <xdr:rowOff>596900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D0573E8F-B681-4794-AC42-9622386AB36C}"/>
            </a:ext>
          </a:extLst>
        </xdr:cNvPr>
        <xdr:cNvSpPr/>
      </xdr:nvSpPr>
      <xdr:spPr>
        <a:xfrm>
          <a:off x="9105900" y="6105525"/>
          <a:ext cx="12915900" cy="4972050"/>
        </a:xfrm>
        <a:prstGeom prst="roundRect">
          <a:avLst>
            <a:gd name="adj" fmla="val 8145"/>
          </a:avLst>
        </a:prstGeom>
        <a:solidFill>
          <a:schemeClr val="tx1">
            <a:lumMod val="50000"/>
            <a:lumOff val="50000"/>
            <a:alpha val="6487"/>
          </a:schemeClr>
        </a:solidFill>
        <a:ln>
          <a:solidFill>
            <a:schemeClr val="bg2">
              <a:lumMod val="50000"/>
              <a:alpha val="9335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1239694</xdr:colOff>
      <xdr:row>34</xdr:row>
      <xdr:rowOff>0</xdr:rowOff>
    </xdr:from>
    <xdr:to>
      <xdr:col>10</xdr:col>
      <xdr:colOff>279400</xdr:colOff>
      <xdr:row>34</xdr:row>
      <xdr:rowOff>0</xdr:rowOff>
    </xdr:to>
    <xdr:sp macro="" textlink="">
      <xdr:nvSpPr>
        <xdr:cNvPr id="3" name="Avrundet rektangel 31">
          <a:extLst>
            <a:ext uri="{FF2B5EF4-FFF2-40B4-BE49-F238E27FC236}">
              <a16:creationId xmlns:a16="http://schemas.microsoft.com/office/drawing/2014/main" id="{3D8FD011-AC5B-487D-BDA6-F94ABD1B8F69}"/>
            </a:ext>
          </a:extLst>
        </xdr:cNvPr>
        <xdr:cNvSpPr/>
      </xdr:nvSpPr>
      <xdr:spPr>
        <a:xfrm>
          <a:off x="1009650" y="12439650"/>
          <a:ext cx="20354925" cy="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1221105</xdr:colOff>
      <xdr:row>6</xdr:row>
      <xdr:rowOff>140891</xdr:rowOff>
    </xdr:from>
    <xdr:to>
      <xdr:col>15</xdr:col>
      <xdr:colOff>1487805</xdr:colOff>
      <xdr:row>11</xdr:row>
      <xdr:rowOff>120430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6E8BA1F3-BF70-47FC-84E2-F0196BD71432}"/>
            </a:ext>
          </a:extLst>
        </xdr:cNvPr>
        <xdr:cNvSpPr txBox="1"/>
      </xdr:nvSpPr>
      <xdr:spPr>
        <a:xfrm>
          <a:off x="1009650" y="1924050"/>
          <a:ext cx="32223075" cy="9334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0</xdr:col>
      <xdr:colOff>1221105</xdr:colOff>
      <xdr:row>4</xdr:row>
      <xdr:rowOff>180975</xdr:rowOff>
    </xdr:from>
    <xdr:to>
      <xdr:col>15</xdr:col>
      <xdr:colOff>1317625</xdr:colOff>
      <xdr:row>8</xdr:row>
      <xdr:rowOff>149225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FA0D4D1F-1EF1-4CFE-9601-5FAAC6209109}"/>
            </a:ext>
          </a:extLst>
        </xdr:cNvPr>
        <xdr:cNvSpPr txBox="1"/>
      </xdr:nvSpPr>
      <xdr:spPr>
        <a:xfrm>
          <a:off x="1009650" y="1581150"/>
          <a:ext cx="3205162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Vaikutuslaskuri ICT-laitteille</a:t>
          </a:r>
        </a:p>
      </xdr:txBody>
    </xdr:sp>
    <xdr:clientData/>
  </xdr:twoCellAnchor>
  <xdr:twoCellAnchor>
    <xdr:from>
      <xdr:col>0</xdr:col>
      <xdr:colOff>1221105</xdr:colOff>
      <xdr:row>11</xdr:row>
      <xdr:rowOff>97320</xdr:rowOff>
    </xdr:from>
    <xdr:to>
      <xdr:col>15</xdr:col>
      <xdr:colOff>1329055</xdr:colOff>
      <xdr:row>15</xdr:row>
      <xdr:rowOff>65570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DEA412E4-E125-41B7-888C-DB0840B080D9}"/>
            </a:ext>
          </a:extLst>
        </xdr:cNvPr>
        <xdr:cNvSpPr txBox="1"/>
      </xdr:nvSpPr>
      <xdr:spPr>
        <a:xfrm>
          <a:off x="1009650" y="2828925"/>
          <a:ext cx="3207067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Katso, miten ICT-laitteiden ilmastojalanjälkeä pienennetään erilaisilla toimenpiteillä.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1124135</xdr:colOff>
      <xdr:row>34</xdr:row>
      <xdr:rowOff>0</xdr:rowOff>
    </xdr:from>
    <xdr:to>
      <xdr:col>10</xdr:col>
      <xdr:colOff>384401</xdr:colOff>
      <xdr:row>34</xdr:row>
      <xdr:rowOff>0</xdr:rowOff>
    </xdr:to>
    <xdr:grpSp>
      <xdr:nvGrpSpPr>
        <xdr:cNvPr id="7" name="Gruppe 32">
          <a:extLst>
            <a:ext uri="{FF2B5EF4-FFF2-40B4-BE49-F238E27FC236}">
              <a16:creationId xmlns:a16="http://schemas.microsoft.com/office/drawing/2014/main" id="{E070B451-C12F-4F67-8181-C58C64CAA41A}"/>
            </a:ext>
          </a:extLst>
        </xdr:cNvPr>
        <xdr:cNvGrpSpPr>
          <a:grpSpLocks/>
        </xdr:cNvGrpSpPr>
      </xdr:nvGrpSpPr>
      <xdr:grpSpPr>
        <a:xfrm>
          <a:off x="1009835" y="12258675"/>
          <a:ext cx="20462916" cy="0"/>
          <a:chOff x="1426805" y="16872452"/>
          <a:chExt cx="9237183" cy="5348678"/>
        </a:xfrm>
      </xdr:grpSpPr>
      <xdr:sp macro="" textlink="">
        <xdr:nvSpPr>
          <xdr:cNvPr id="8" name="Avrundet rektangel 31">
            <a:extLst>
              <a:ext uri="{FF2B5EF4-FFF2-40B4-BE49-F238E27FC236}">
                <a16:creationId xmlns:a16="http://schemas.microsoft.com/office/drawing/2014/main" id="{D0CD64F3-C96A-D844-DA83-39301A8087E4}"/>
              </a:ext>
            </a:extLst>
          </xdr:cNvPr>
          <xdr:cNvSpPr/>
        </xdr:nvSpPr>
        <xdr:spPr>
          <a:xfrm>
            <a:off x="1426805" y="16886770"/>
            <a:ext cx="9237183" cy="5069843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9" name="Chart 1">
            <a:extLst>
              <a:ext uri="{FF2B5EF4-FFF2-40B4-BE49-F238E27FC236}">
                <a16:creationId xmlns:a16="http://schemas.microsoft.com/office/drawing/2014/main" id="{63E6814F-5D03-36E1-5B14-0DF6C11A989E}"/>
              </a:ext>
            </a:extLst>
          </xdr:cNvPr>
          <xdr:cNvGraphicFramePr/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1068880</xdr:colOff>
      <xdr:row>17</xdr:row>
      <xdr:rowOff>143498</xdr:rowOff>
    </xdr:from>
    <xdr:to>
      <xdr:col>6</xdr:col>
      <xdr:colOff>342900</xdr:colOff>
      <xdr:row>17</xdr:row>
      <xdr:rowOff>1003300</xdr:rowOff>
    </xdr:to>
    <xdr:sp macro="" textlink="" fLocksText="0">
      <xdr:nvSpPr>
        <xdr:cNvPr id="10" name="TekstSylinder 9">
          <a:extLst>
            <a:ext uri="{FF2B5EF4-FFF2-40B4-BE49-F238E27FC236}">
              <a16:creationId xmlns:a16="http://schemas.microsoft.com/office/drawing/2014/main" id="{499F6974-5CD4-4610-8134-2C335A8C4F70}"/>
            </a:ext>
          </a:extLst>
        </xdr:cNvPr>
        <xdr:cNvSpPr txBox="1"/>
      </xdr:nvSpPr>
      <xdr:spPr>
        <a:xfrm>
          <a:off x="1009650" y="4400550"/>
          <a:ext cx="14754225" cy="8572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4000" b="1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Haluatko tietää, kuinka paljon eri toimenpiteet vaikuttavat?</a:t>
          </a:r>
        </a:p>
      </xdr:txBody>
    </xdr:sp>
    <xdr:clientData/>
  </xdr:twoCellAnchor>
  <xdr:twoCellAnchor>
    <xdr:from>
      <xdr:col>0</xdr:col>
      <xdr:colOff>840104</xdr:colOff>
      <xdr:row>30</xdr:row>
      <xdr:rowOff>1120140</xdr:rowOff>
    </xdr:from>
    <xdr:to>
      <xdr:col>10</xdr:col>
      <xdr:colOff>1084728</xdr:colOff>
      <xdr:row>55</xdr:row>
      <xdr:rowOff>53340</xdr:rowOff>
    </xdr:to>
    <xdr:grpSp>
      <xdr:nvGrpSpPr>
        <xdr:cNvPr id="78" name="Gruppe 77">
          <a:extLst>
            <a:ext uri="{FF2B5EF4-FFF2-40B4-BE49-F238E27FC236}">
              <a16:creationId xmlns:a16="http://schemas.microsoft.com/office/drawing/2014/main" id="{C39718E5-C994-9D23-4B83-E62E49F1081F}"/>
            </a:ext>
          </a:extLst>
        </xdr:cNvPr>
        <xdr:cNvGrpSpPr>
          <a:grpSpLocks/>
        </xdr:cNvGrpSpPr>
      </xdr:nvGrpSpPr>
      <xdr:grpSpPr>
        <a:xfrm>
          <a:off x="840104" y="11426190"/>
          <a:ext cx="21332974" cy="6486525"/>
          <a:chOff x="840104" y="11125200"/>
          <a:chExt cx="21532999" cy="6188075"/>
        </a:xfrm>
      </xdr:grpSpPr>
      <xdr:grpSp>
        <xdr:nvGrpSpPr>
          <xdr:cNvPr id="56" name="Gruppe 55">
            <a:extLst>
              <a:ext uri="{FF2B5EF4-FFF2-40B4-BE49-F238E27FC236}">
                <a16:creationId xmlns:a16="http://schemas.microsoft.com/office/drawing/2014/main" id="{4A543B39-3C88-4AF7-94E0-5408285A82A5}"/>
              </a:ext>
            </a:extLst>
          </xdr:cNvPr>
          <xdr:cNvGrpSpPr>
            <a:grpSpLocks/>
          </xdr:cNvGrpSpPr>
        </xdr:nvGrpSpPr>
        <xdr:grpSpPr>
          <a:xfrm>
            <a:off x="840104" y="11125200"/>
            <a:ext cx="21532999" cy="6188075"/>
            <a:chOff x="715009" y="10995712"/>
            <a:chExt cx="21569193" cy="4966402"/>
          </a:xfrm>
        </xdr:grpSpPr>
        <xdr:grpSp>
          <xdr:nvGrpSpPr>
            <xdr:cNvPr id="57" name="Gruppe 39">
              <a:extLst>
                <a:ext uri="{FF2B5EF4-FFF2-40B4-BE49-F238E27FC236}">
                  <a16:creationId xmlns:a16="http://schemas.microsoft.com/office/drawing/2014/main" id="{24EA0F9B-493E-E771-46F1-69AB54111EDB}"/>
                </a:ext>
              </a:extLst>
            </xdr:cNvPr>
            <xdr:cNvGrpSpPr>
              <a:grpSpLocks/>
            </xdr:cNvGrpSpPr>
          </xdr:nvGrpSpPr>
          <xdr:grpSpPr>
            <a:xfrm>
              <a:off x="715009" y="10995712"/>
              <a:ext cx="21569193" cy="4966402"/>
              <a:chOff x="4738599" y="7890934"/>
              <a:chExt cx="20987615" cy="4664992"/>
            </a:xfrm>
          </xdr:grpSpPr>
          <xdr:grpSp>
            <xdr:nvGrpSpPr>
              <xdr:cNvPr id="62" name="Gruppe 38">
                <a:extLst>
                  <a:ext uri="{FF2B5EF4-FFF2-40B4-BE49-F238E27FC236}">
                    <a16:creationId xmlns:a16="http://schemas.microsoft.com/office/drawing/2014/main" id="{14B52BE4-F1AA-D15A-8567-C6D749B6311C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38599" y="7890934"/>
                <a:ext cx="20987615" cy="4664992"/>
                <a:chOff x="708466" y="7653867"/>
                <a:chExt cx="20987615" cy="4664992"/>
              </a:xfrm>
            </xdr:grpSpPr>
            <xdr:sp macro="" textlink="">
              <xdr:nvSpPr>
                <xdr:cNvPr id="64" name="Avrundet rektangel 35">
                  <a:extLst>
                    <a:ext uri="{FF2B5EF4-FFF2-40B4-BE49-F238E27FC236}">
                      <a16:creationId xmlns:a16="http://schemas.microsoft.com/office/drawing/2014/main" id="{5C36C9E6-F0C2-A62A-1CD5-097411681651}"/>
                    </a:ext>
                  </a:extLst>
                </xdr:cNvPr>
                <xdr:cNvSpPr/>
              </xdr:nvSpPr>
              <xdr:spPr>
                <a:xfrm>
                  <a:off x="708466" y="7653867"/>
                  <a:ext cx="20987615" cy="4664992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91440" tIns="4572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65" name="Avrundet rektangel 21">
                  <a:extLst>
                    <a:ext uri="{FF2B5EF4-FFF2-40B4-BE49-F238E27FC236}">
                      <a16:creationId xmlns:a16="http://schemas.microsoft.com/office/drawing/2014/main" id="{485510BF-666C-2EFA-FFC4-CEBBAD6D8497}"/>
                    </a:ext>
                  </a:extLst>
                </xdr:cNvPr>
                <xdr:cNvSpPr/>
              </xdr:nvSpPr>
              <xdr:spPr>
                <a:xfrm>
                  <a:off x="1020125" y="7887901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400" b="1" i="0" u="none" baseline="0" dirty="0" err="1">
                      <a:solidFill>
                        <a:srgbClr val="002E49"/>
                      </a:solidFill>
                      <a:latin typeface="Source Serif 4"/>
                      <a:ea typeface="Source Serif 4"/>
                    </a:rPr>
                    <a:t>Toimenpiteet</a:t>
                  </a:r>
                </a:p>
              </xdr:txBody>
            </xdr:sp>
            <xdr:sp macro="" textlink="">
              <xdr:nvSpPr>
                <xdr:cNvPr id="66" name="Avrundet rektangel 22">
                  <a:extLst>
                    <a:ext uri="{FF2B5EF4-FFF2-40B4-BE49-F238E27FC236}">
                      <a16:creationId xmlns:a16="http://schemas.microsoft.com/office/drawing/2014/main" id="{0D9E9980-1912-5D51-A087-19B7CF6FCD32}"/>
                    </a:ext>
                  </a:extLst>
                </xdr:cNvPr>
                <xdr:cNvSpPr/>
              </xdr:nvSpPr>
              <xdr:spPr>
                <a:xfrm>
                  <a:off x="4744807" y="7887901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400" b="1" i="0" u="none" baseline="0" dirty="0" err="1">
                      <a:solidFill>
                        <a:srgbClr val="002E49"/>
                      </a:solidFill>
                      <a:latin typeface="Source Serif 4"/>
                      <a:ea typeface="Source Serif 4"/>
                    </a:rPr>
                    <a:t>Kuvaus</a:t>
                  </a:r>
                </a:p>
              </xdr:txBody>
            </xdr:sp>
            <xdr:grpSp>
              <xdr:nvGrpSpPr>
                <xdr:cNvPr id="67" name="Gruppe 36">
                  <a:extLst>
                    <a:ext uri="{FF2B5EF4-FFF2-40B4-BE49-F238E27FC236}">
                      <a16:creationId xmlns:a16="http://schemas.microsoft.com/office/drawing/2014/main" id="{CF1E96AF-B8D4-C7D6-B6F5-E9575CD8079D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1037058" y="8504767"/>
                  <a:ext cx="3509378" cy="2768312"/>
                  <a:chOff x="1037058" y="8504767"/>
                  <a:chExt cx="3509378" cy="2768312"/>
                </a:xfrm>
              </xdr:grpSpPr>
              <xdr:sp macro="" textlink="" fLocksText="0">
                <xdr:nvSpPr>
                  <xdr:cNvPr id="74" name="Avrundet rektangel 23">
                    <a:extLst>
                      <a:ext uri="{FF2B5EF4-FFF2-40B4-BE49-F238E27FC236}">
                        <a16:creationId xmlns:a16="http://schemas.microsoft.com/office/drawing/2014/main" id="{79EEED2E-C1D0-230E-F9B7-8EA8B6BBFABD}"/>
                      </a:ext>
                    </a:extLst>
                  </xdr:cNvPr>
                  <xdr:cNvSpPr/>
                </xdr:nvSpPr>
                <xdr:spPr>
                  <a:xfrm>
                    <a:off x="1037059" y="8504767"/>
                    <a:ext cx="3507934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Uutena ostaminen (ei toimenpidettä)</a:t>
                    </a:r>
                  </a:p>
                </xdr:txBody>
              </xdr:sp>
              <xdr:sp macro="" textlink="" fLocksText="0">
                <xdr:nvSpPr>
                  <xdr:cNvPr id="75" name="Avrundet rektangel 27">
                    <a:extLst>
                      <a:ext uri="{FF2B5EF4-FFF2-40B4-BE49-F238E27FC236}">
                        <a16:creationId xmlns:a16="http://schemas.microsoft.com/office/drawing/2014/main" id="{659D9BB0-724E-0CFD-EDB6-25B6DE7313F2}"/>
                      </a:ext>
                    </a:extLst>
                  </xdr:cNvPr>
                  <xdr:cNvSpPr/>
                </xdr:nvSpPr>
                <xdr:spPr>
                  <a:xfrm>
                    <a:off x="1037058" y="9224434"/>
                    <a:ext cx="3509378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Uuden ostaminen laajennetulla takuulla</a:t>
                    </a:r>
                  </a:p>
                </xdr:txBody>
              </xdr:sp>
              <xdr:sp macro="" textlink="" fLocksText="0">
                <xdr:nvSpPr>
                  <xdr:cNvPr id="76" name="Avrundet rektangel 29">
                    <a:extLst>
                      <a:ext uri="{FF2B5EF4-FFF2-40B4-BE49-F238E27FC236}">
                        <a16:creationId xmlns:a16="http://schemas.microsoft.com/office/drawing/2014/main" id="{1AF5F54A-AB0C-4B1F-8C25-0D66573F7BA6}"/>
                      </a:ext>
                    </a:extLst>
                  </xdr:cNvPr>
                  <xdr:cNvSpPr/>
                </xdr:nvSpPr>
                <xdr:spPr>
                  <a:xfrm>
                    <a:off x="1037058" y="9986374"/>
                    <a:ext cx="2882085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Käytettynä ostaminen</a:t>
                    </a:r>
                  </a:p>
                </xdr:txBody>
              </xdr:sp>
              <xdr:sp macro="" textlink="" fLocksText="0">
                <xdr:nvSpPr>
                  <xdr:cNvPr id="77" name="Avrundet rektangel 31">
                    <a:extLst>
                      <a:ext uri="{FF2B5EF4-FFF2-40B4-BE49-F238E27FC236}">
                        <a16:creationId xmlns:a16="http://schemas.microsoft.com/office/drawing/2014/main" id="{75A6AB6E-5596-AB62-DBB2-DA2AEBA1D2F4}"/>
                      </a:ext>
                    </a:extLst>
                  </xdr:cNvPr>
                  <xdr:cNvSpPr/>
                </xdr:nvSpPr>
                <xdr:spPr>
                  <a:xfrm>
                    <a:off x="1037058" y="10629613"/>
                    <a:ext cx="2882085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Korjaus</a:t>
                    </a:r>
                  </a:p>
                </xdr:txBody>
              </xdr:sp>
            </xdr:grpSp>
            <xdr:grpSp>
              <xdr:nvGrpSpPr>
                <xdr:cNvPr id="68" name="Gruppe 37">
                  <a:extLst>
                    <a:ext uri="{FF2B5EF4-FFF2-40B4-BE49-F238E27FC236}">
                      <a16:creationId xmlns:a16="http://schemas.microsoft.com/office/drawing/2014/main" id="{DE00EF0A-D5EB-9C75-3A4B-E5BCB63618D6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4795083" y="8505503"/>
                  <a:ext cx="14022863" cy="3447557"/>
                  <a:chOff x="4795083" y="8505503"/>
                  <a:chExt cx="14022863" cy="3447557"/>
                </a:xfrm>
              </xdr:grpSpPr>
              <xdr:sp macro="" textlink="" fLocksText="0">
                <xdr:nvSpPr>
                  <xdr:cNvPr id="69" name="Avrundet rektangel 24">
                    <a:extLst>
                      <a:ext uri="{FF2B5EF4-FFF2-40B4-BE49-F238E27FC236}">
                        <a16:creationId xmlns:a16="http://schemas.microsoft.com/office/drawing/2014/main" id="{BB9B95F5-3586-7A54-C3C8-858D0D39B524}"/>
                      </a:ext>
                    </a:extLst>
                  </xdr:cNvPr>
                  <xdr:cNvSpPr/>
                </xdr:nvSpPr>
                <xdr:spPr>
                  <a:xfrm>
                    <a:off x="4795083" y="8505503"/>
                    <a:ext cx="9719734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ICT-laitteet ostetaan uutena. Oletetaan keskimääräinen käyttöikä yksikköä kohden.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70" name="Avrundet rektangel 28">
                    <a:extLst>
                      <a:ext uri="{FF2B5EF4-FFF2-40B4-BE49-F238E27FC236}">
                        <a16:creationId xmlns:a16="http://schemas.microsoft.com/office/drawing/2014/main" id="{B43D832A-8DEF-50D7-D12B-9149D609C6AA}"/>
                      </a:ext>
                    </a:extLst>
                  </xdr:cNvPr>
                  <xdr:cNvSpPr/>
                </xdr:nvSpPr>
                <xdr:spPr>
                  <a:xfrm>
                    <a:off x="4795083" y="9186220"/>
                    <a:ext cx="14022863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ICT-laitteet ostetaan uusina, mutta niillä on pidennetty takuuaika vakioon verrattuna. Oletuksena on, että laitteen käyttöikä pitenee 1 vuodella keskiarvoon nähden. </a:t>
                    </a:r>
                  </a:p>
                </xdr:txBody>
              </xdr:sp>
              <xdr:sp macro="" textlink="" fLocksText="0">
                <xdr:nvSpPr>
                  <xdr:cNvPr id="71" name="Avrundet rektangel 30">
                    <a:extLst>
                      <a:ext uri="{FF2B5EF4-FFF2-40B4-BE49-F238E27FC236}">
                        <a16:creationId xmlns:a16="http://schemas.microsoft.com/office/drawing/2014/main" id="{87F82068-37A7-EF1A-9A53-ABC8C216B111}"/>
                      </a:ext>
                    </a:extLst>
                  </xdr:cNvPr>
                  <xdr:cNvSpPr/>
                </xdr:nvSpPr>
                <xdr:spPr>
                  <a:xfrm>
                    <a:off x="4795083" y="9986375"/>
                    <a:ext cx="13201442" cy="724877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ICT-laitteet ostetaan käytettynä/kunnostettuna jälleenmyyjän kautta. Oletuksena on, että laitteen käyttöikä on 1 vuoden lyhyempi kuin vastaavalla uudella laitteella, mutta jalanjälki on huomattavasti pienempi, koska laite on jo valmistettu.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72" name="Avrundet rektangel 32">
                    <a:extLst>
                      <a:ext uri="{FF2B5EF4-FFF2-40B4-BE49-F238E27FC236}">
                        <a16:creationId xmlns:a16="http://schemas.microsoft.com/office/drawing/2014/main" id="{E14E0935-8445-1496-54E2-7C962CF39D5E}"/>
                      </a:ext>
                    </a:extLst>
                  </xdr:cNvPr>
                  <xdr:cNvSpPr/>
                </xdr:nvSpPr>
                <xdr:spPr>
                  <a:xfrm>
                    <a:off x="4795083" y="10629613"/>
                    <a:ext cx="13444704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Kyseiselle tuotteelle tarjotaan korjauksia käyttöiän aikana uuden tuotteen ostamisen sijaan. Jalanjälki vaihtelee korjaustyypin mukaan. Käyttöikä lyhenee 1,5 vuodella.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73" name="Avrundet rektangel 34">
                    <a:extLst>
                      <a:ext uri="{FF2B5EF4-FFF2-40B4-BE49-F238E27FC236}">
                        <a16:creationId xmlns:a16="http://schemas.microsoft.com/office/drawing/2014/main" id="{BB3B65D4-FBAC-FE31-3DDF-17F4C0FE9EB1}"/>
                      </a:ext>
                    </a:extLst>
                  </xdr:cNvPr>
                  <xdr:cNvSpPr/>
                </xdr:nvSpPr>
                <xdr:spPr>
                  <a:xfrm>
                    <a:off x="4795083" y="11311066"/>
                    <a:ext cx="13847527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ctr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Laitteet, jotka eivät ole enää käytössä, välitetään yrityksen sisällä uusien laitteiden ostamisen sijaan. Laitteen käyttöiän uskotaan olevan 1 vuoden lyhyempi kuin vastaavan uuden laitteen, mutta ilmastojalanjälki on nolla.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</xdr:grpSp>
          </xdr:grpSp>
          <xdr:sp macro="" textlink="" fLocksText="0">
            <xdr:nvSpPr>
              <xdr:cNvPr id="63" name="Avrundet rektangel 33">
                <a:extLst>
                  <a:ext uri="{FF2B5EF4-FFF2-40B4-BE49-F238E27FC236}">
                    <a16:creationId xmlns:a16="http://schemas.microsoft.com/office/drawing/2014/main" id="{BEF2CFFA-CC87-8230-8BB8-C294AA823DEA}"/>
                  </a:ext>
                </a:extLst>
              </xdr:cNvPr>
              <xdr:cNvSpPr/>
            </xdr:nvSpPr>
            <xdr:spPr>
              <a:xfrm>
                <a:off x="5067191" y="11624563"/>
                <a:ext cx="2882086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i="0" u="none" baseline="0" dirty="0" err="1">
                    <a:solidFill>
                      <a:srgbClr val="002E49"/>
                    </a:solidFill>
                    <a:latin typeface="Source Sans Pro"/>
                    <a:ea typeface="Source Sans Pro"/>
                  </a:rPr>
                  <a:t>Sisäinen uudelleenkäyttö</a:t>
                </a:r>
              </a:p>
            </xdr:txBody>
          </xdr:sp>
        </xdr:grpSp>
        <xdr:cxnSp macro="">
          <xdr:nvCxnSpPr>
            <xdr:cNvPr id="58" name="Rett linje 63">
              <a:extLst>
                <a:ext uri="{FF2B5EF4-FFF2-40B4-BE49-F238E27FC236}">
                  <a16:creationId xmlns:a16="http://schemas.microsoft.com/office/drawing/2014/main" id="{3A05037D-9DB3-BCF1-379D-E6D20489CEB8}"/>
                </a:ext>
              </a:extLst>
            </xdr:cNvPr>
            <xdr:cNvCxnSpPr/>
          </xdr:nvCxnSpPr>
          <xdr:spPr>
            <a:xfrm>
              <a:off x="1341506" y="12580843"/>
              <a:ext cx="1927073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9" name="Rett linje 64">
              <a:extLst>
                <a:ext uri="{FF2B5EF4-FFF2-40B4-BE49-F238E27FC236}">
                  <a16:creationId xmlns:a16="http://schemas.microsoft.com/office/drawing/2014/main" id="{CACE9971-59F8-BF86-068D-421A46CC89A4}"/>
                </a:ext>
              </a:extLst>
            </xdr:cNvPr>
            <xdr:cNvCxnSpPr/>
          </xdr:nvCxnSpPr>
          <xdr:spPr>
            <a:xfrm>
              <a:off x="1341506" y="13532425"/>
              <a:ext cx="1923263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0" name="Rett linje 65">
              <a:extLst>
                <a:ext uri="{FF2B5EF4-FFF2-40B4-BE49-F238E27FC236}">
                  <a16:creationId xmlns:a16="http://schemas.microsoft.com/office/drawing/2014/main" id="{A6E09800-E9F7-5CF1-882B-B5BE1C173B3F}"/>
                </a:ext>
              </a:extLst>
            </xdr:cNvPr>
            <xdr:cNvCxnSpPr/>
          </xdr:nvCxnSpPr>
          <xdr:spPr>
            <a:xfrm>
              <a:off x="1341506" y="14170004"/>
              <a:ext cx="1921612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1" name="Rett linje 66">
              <a:extLst>
                <a:ext uri="{FF2B5EF4-FFF2-40B4-BE49-F238E27FC236}">
                  <a16:creationId xmlns:a16="http://schemas.microsoft.com/office/drawing/2014/main" id="{46375487-9178-839F-B8E1-DA88FE7D487E}"/>
                </a:ext>
              </a:extLst>
            </xdr:cNvPr>
            <xdr:cNvCxnSpPr/>
          </xdr:nvCxnSpPr>
          <xdr:spPr>
            <a:xfrm>
              <a:off x="1341506" y="14858249"/>
              <a:ext cx="1917802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34" name="Grafikk 33">
            <a:extLst>
              <a:ext uri="{FF2B5EF4-FFF2-40B4-BE49-F238E27FC236}">
                <a16:creationId xmlns:a16="http://schemas.microsoft.com/office/drawing/2014/main" id="{B86E81EE-2464-40DB-B370-BFB94C648B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21210284" y="11576408"/>
            <a:ext cx="730627" cy="9527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298208</xdr:colOff>
      <xdr:row>4</xdr:row>
      <xdr:rowOff>120079</xdr:rowOff>
    </xdr:from>
    <xdr:to>
      <xdr:col>7</xdr:col>
      <xdr:colOff>380123</xdr:colOff>
      <xdr:row>14</xdr:row>
      <xdr:rowOff>699</xdr:rowOff>
    </xdr:to>
    <xdr:pic>
      <xdr:nvPicPr>
        <xdr:cNvPr id="39" name="Grafikk 23">
          <a:extLst>
            <a:ext uri="{FF2B5EF4-FFF2-40B4-BE49-F238E27FC236}">
              <a16:creationId xmlns:a16="http://schemas.microsoft.com/office/drawing/2014/main" id="{05D22887-E13B-46D0-9752-70BF93A0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3944600" y="1524000"/>
          <a:ext cx="4029075" cy="1781175"/>
        </a:xfrm>
        <a:prstGeom prst="rect">
          <a:avLst/>
        </a:prstGeom>
      </xdr:spPr>
    </xdr:pic>
    <xdr:clientData/>
  </xdr:twoCellAnchor>
  <xdr:twoCellAnchor>
    <xdr:from>
      <xdr:col>0</xdr:col>
      <xdr:colOff>1092200</xdr:colOff>
      <xdr:row>17</xdr:row>
      <xdr:rowOff>892798</xdr:rowOff>
    </xdr:from>
    <xdr:to>
      <xdr:col>4</xdr:col>
      <xdr:colOff>2108200</xdr:colOff>
      <xdr:row>18</xdr:row>
      <xdr:rowOff>152400</xdr:rowOff>
    </xdr:to>
    <xdr:sp macro="" textlink="" fLocksText="0">
      <xdr:nvSpPr>
        <xdr:cNvPr id="40" name="TekstSylinder 39">
          <a:extLst>
            <a:ext uri="{FF2B5EF4-FFF2-40B4-BE49-F238E27FC236}">
              <a16:creationId xmlns:a16="http://schemas.microsoft.com/office/drawing/2014/main" id="{453AB887-2B49-443B-A72B-6D69A72F6D68}"/>
            </a:ext>
          </a:extLst>
        </xdr:cNvPr>
        <xdr:cNvSpPr txBox="1"/>
      </xdr:nvSpPr>
      <xdr:spPr>
        <a:xfrm>
          <a:off x="1009650" y="5153025"/>
          <a:ext cx="10982325" cy="5619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2000" b="0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Valitse laitetyyppi ja katso oikealla olevasta kaaviosta, miten eri toimet vaikuttavat ilmastojalanjälkeen. </a:t>
          </a:r>
          <a:endParaRPr lang="nb-NO" sz="2000" b="0" dirty="0" err="1">
            <a:solidFill>
              <a:schemeClr val="accent6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3035</xdr:colOff>
      <xdr:row>85</xdr:row>
      <xdr:rowOff>35489</xdr:rowOff>
    </xdr:from>
    <xdr:to>
      <xdr:col>4</xdr:col>
      <xdr:colOff>172282</xdr:colOff>
      <xdr:row>102</xdr:row>
      <xdr:rowOff>153583</xdr:rowOff>
    </xdr:to>
    <xdr:grpSp>
      <xdr:nvGrpSpPr>
        <xdr:cNvPr id="41" name="Gruppe 40">
          <a:extLst>
            <a:ext uri="{FF2B5EF4-FFF2-40B4-BE49-F238E27FC236}">
              <a16:creationId xmlns:a16="http://schemas.microsoft.com/office/drawing/2014/main" id="{7EEF3157-E89F-46E6-8D41-349D75EB6F94}"/>
            </a:ext>
          </a:extLst>
        </xdr:cNvPr>
        <xdr:cNvGrpSpPr>
          <a:grpSpLocks/>
        </xdr:cNvGrpSpPr>
      </xdr:nvGrpSpPr>
      <xdr:grpSpPr>
        <a:xfrm>
          <a:off x="1012685" y="23409839"/>
          <a:ext cx="9046547" cy="3194669"/>
          <a:chOff x="1182953" y="12788158"/>
          <a:chExt cx="9814277" cy="3245555"/>
        </a:xfrm>
      </xdr:grpSpPr>
      <xdr:sp macro="" textlink="" fLocksText="0">
        <xdr:nvSpPr>
          <xdr:cNvPr id="42" name="Avrundet rektangel 40">
            <a:extLst>
              <a:ext uri="{FF2B5EF4-FFF2-40B4-BE49-F238E27FC236}">
                <a16:creationId xmlns:a16="http://schemas.microsoft.com/office/drawing/2014/main" id="{55A3B5A7-A0C3-930B-6772-F694E579CDF4}"/>
              </a:ext>
            </a:extLst>
          </xdr:cNvPr>
          <xdr:cNvSpPr/>
        </xdr:nvSpPr>
        <xdr:spPr>
          <a:xfrm>
            <a:off x="1182953" y="12788158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0000"/>
                </a:solidFill>
                <a:effectLst/>
                <a:latin typeface="Source Sans Pro"/>
                <a:ea typeface="Source Sans Pro"/>
              </a:rPr>
              <a:t>Haluaisitko lisätietoja työkalusta ja tiedoista, joihin se perustuu? </a:t>
            </a:r>
            <a:r>
              <a:rPr lang="nb-NO" sz="2000" b="0" i="0" u="none" baseline="0">
                <a:solidFill>
                  <a:srgbClr val="000000"/>
                </a:solidFill>
                <a:effectLst/>
                <a:latin typeface="Source Sans Pro"/>
                <a:ea typeface="Source Sans Pro"/>
              </a:rPr>
              <a:t>Katso tämän työkalun tietojen yleiskatsaus tai lataa vastaava opas DFØ:n sivuilta.</a:t>
            </a:r>
            <a:r>
              <a:rPr lang="nb-NO" sz="2000" b="1" i="0" baseline="0">
                <a:solidFill>
                  <a:srgbClr val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nb-NO" sz="4000">
              <a:solidFill>
                <a:srgbClr val="000000"/>
              </a:solidFill>
              <a:effectLst/>
            </a:endParaRPr>
          </a:p>
          <a:p>
            <a:pPr>
              <a:defRPr lang="nb-NO" sz="2000" b="1" i="0" baseline="0">
                <a:solidFill>
                  <a:srgbClr val="000000"/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43" name="Grafikk 303">
            <a:extLst>
              <a:ext uri="{FF2B5EF4-FFF2-40B4-BE49-F238E27FC236}">
                <a16:creationId xmlns:a16="http://schemas.microsoft.com/office/drawing/2014/main" id="{706006BD-A886-1DA3-63F5-2F1CF47184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577590" y="13179372"/>
            <a:ext cx="380015" cy="377206"/>
          </a:xfrm>
          <a:prstGeom prst="rect">
            <a:avLst/>
          </a:prstGeom>
        </xdr:spPr>
      </xdr:pic>
      <xdr:grpSp>
        <xdr:nvGrpSpPr>
          <xdr:cNvPr id="44" name="Gruppe 579">
            <a:extLst>
              <a:ext uri="{FF2B5EF4-FFF2-40B4-BE49-F238E27FC236}">
                <a16:creationId xmlns:a16="http://schemas.microsoft.com/office/drawing/2014/main" id="{166FF1EB-0524-56CB-3837-635B2927FEA2}"/>
              </a:ext>
            </a:extLst>
          </xdr:cNvPr>
          <xdr:cNvGrpSpPr>
            <a:grpSpLocks/>
          </xdr:cNvGrpSpPr>
        </xdr:nvGrpSpPr>
        <xdr:grpSpPr>
          <a:xfrm>
            <a:off x="7222174" y="14478043"/>
            <a:ext cx="3400785" cy="1021527"/>
            <a:chOff x="7128936" y="13235433"/>
            <a:chExt cx="3366557" cy="988613"/>
          </a:xfrm>
        </xdr:grpSpPr>
        <xdr:sp macro="" textlink="">
          <xdr:nvSpPr>
            <xdr:cNvPr id="45" name="Avrundet rektangel 40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25EA0634-A331-A9C6-7C6A-CE78D4EDD939}"/>
                </a:ext>
              </a:extLst>
            </xdr:cNvPr>
            <xdr:cNvSpPr/>
          </xdr:nvSpPr>
          <xdr:spPr>
            <a:xfrm>
              <a:off x="7133396" y="13786032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grpSp>
          <xdr:nvGrpSpPr>
            <xdr:cNvPr id="46" name="Gruppe 305">
              <a:extLst>
                <a:ext uri="{FF2B5EF4-FFF2-40B4-BE49-F238E27FC236}">
                  <a16:creationId xmlns:a16="http://schemas.microsoft.com/office/drawing/2014/main" id="{FE6BB7E0-C5C1-4403-E52B-537D96735A02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48" name="Avrundet rektangel 40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0D89F105-E9FF-FCF0-DB10-70E4D86F57F3}"/>
                  </a:ext>
                </a:extLst>
              </xdr:cNvPr>
              <xdr:cNvSpPr/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Tietojen perusta</a:t>
                </a:r>
              </a:p>
            </xdr:txBody>
          </xdr:sp>
          <xdr:pic>
            <xdr:nvPicPr>
              <xdr:cNvPr id="49" name="Grafikk 25">
                <a:extLst>
                  <a:ext uri="{FF2B5EF4-FFF2-40B4-BE49-F238E27FC236}">
                    <a16:creationId xmlns:a16="http://schemas.microsoft.com/office/drawing/2014/main" id="{B8D85702-7159-96DC-C773-C15968C5653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96DAC541-7B7A-43D3-8B79-37D633B846F1}">
                    <asvg:svgBlip xmlns:asvg="http://schemas.microsoft.com/office/drawing/2016/SVG/main" r:embed="rId11"/>
                  </a:ext>
                </a:extLst>
              </a:blip>
              <a:stretch>
                <a:fillRect/>
              </a:stretch>
            </xdr:blipFill>
            <xdr:spPr>
              <a:xfrm>
                <a:off x="22324122" y="6841841"/>
                <a:ext cx="137314" cy="354639"/>
              </a:xfrm>
              <a:prstGeom prst="rect">
                <a:avLst/>
              </a:prstGeom>
            </xdr:spPr>
          </xdr:pic>
        </xdr:grpSp>
        <xdr:pic>
          <xdr:nvPicPr>
            <xdr:cNvPr id="47" name="Grafikk 25">
              <a:extLst>
                <a:ext uri="{FF2B5EF4-FFF2-40B4-BE49-F238E27FC236}">
                  <a16:creationId xmlns:a16="http://schemas.microsoft.com/office/drawing/2014/main" id="{6A9D286E-454B-5C58-B63A-2D5134C42A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10154391" y="13861518"/>
              <a:ext cx="160586" cy="305781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1190748</xdr:colOff>
      <xdr:row>59</xdr:row>
      <xdr:rowOff>92256</xdr:rowOff>
    </xdr:from>
    <xdr:to>
      <xdr:col>4</xdr:col>
      <xdr:colOff>2514441</xdr:colOff>
      <xdr:row>67</xdr:row>
      <xdr:rowOff>120650</xdr:rowOff>
    </xdr:to>
    <xdr:sp macro="" textlink="" fLocksText="0">
      <xdr:nvSpPr>
        <xdr:cNvPr id="50" name="TekstSylinder 58">
          <a:extLst>
            <a:ext uri="{FF2B5EF4-FFF2-40B4-BE49-F238E27FC236}">
              <a16:creationId xmlns:a16="http://schemas.microsoft.com/office/drawing/2014/main" id="{4BB3AAAE-5FD1-4EE6-869B-A29627ADF863}"/>
            </a:ext>
          </a:extLst>
        </xdr:cNvPr>
        <xdr:cNvSpPr txBox="1"/>
      </xdr:nvSpPr>
      <xdr:spPr>
        <a:xfrm>
          <a:off x="1009650" y="18973800"/>
          <a:ext cx="11391900" cy="15525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Haluatko tietää lisää siitä, miten ICT-laitehankintojen kestävää kehitystä voidaan edistää?</a:t>
          </a:r>
        </a:p>
      </xdr:txBody>
    </xdr:sp>
    <xdr:clientData/>
  </xdr:twoCellAnchor>
  <xdr:twoCellAnchor>
    <xdr:from>
      <xdr:col>0</xdr:col>
      <xdr:colOff>1179953</xdr:colOff>
      <xdr:row>67</xdr:row>
      <xdr:rowOff>159496</xdr:rowOff>
    </xdr:from>
    <xdr:to>
      <xdr:col>6</xdr:col>
      <xdr:colOff>855594</xdr:colOff>
      <xdr:row>72</xdr:row>
      <xdr:rowOff>73277</xdr:rowOff>
    </xdr:to>
    <xdr:sp macro="" textlink="" fLocksText="0">
      <xdr:nvSpPr>
        <xdr:cNvPr id="51" name="TekstSylinder 451">
          <a:extLst>
            <a:ext uri="{FF2B5EF4-FFF2-40B4-BE49-F238E27FC236}">
              <a16:creationId xmlns:a16="http://schemas.microsoft.com/office/drawing/2014/main" id="{03BB0943-702B-43C1-ABFE-D81D200498C0}"/>
            </a:ext>
          </a:extLst>
        </xdr:cNvPr>
        <xdr:cNvSpPr txBox="1"/>
      </xdr:nvSpPr>
      <xdr:spPr>
        <a:xfrm>
          <a:off x="1009650" y="20564475"/>
          <a:ext cx="15268575" cy="866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DFØ:n sivuilta voit lukea lisää asiaankuuluvista vaatimuksista ja kriteereistä, määräyksistä, ympäristömerkeistä ja muista ympäristövaikutuksista kuin kasvihuonekaasupäästöistä.</a:t>
          </a:r>
        </a:p>
      </xdr:txBody>
    </xdr:sp>
    <xdr:clientData/>
  </xdr:twoCellAnchor>
  <xdr:twoCellAnchor>
    <xdr:from>
      <xdr:col>0</xdr:col>
      <xdr:colOff>1201543</xdr:colOff>
      <xdr:row>74</xdr:row>
      <xdr:rowOff>42728</xdr:rowOff>
    </xdr:from>
    <xdr:to>
      <xdr:col>2</xdr:col>
      <xdr:colOff>858219</xdr:colOff>
      <xdr:row>77</xdr:row>
      <xdr:rowOff>103052</xdr:rowOff>
    </xdr:to>
    <xdr:grpSp>
      <xdr:nvGrpSpPr>
        <xdr:cNvPr id="52" name="Gruppe 45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D217B6D-B36C-4935-A453-4046989AE981}"/>
            </a:ext>
          </a:extLst>
        </xdr:cNvPr>
        <xdr:cNvGrpSpPr>
          <a:grpSpLocks noChangeAspect="1"/>
        </xdr:cNvGrpSpPr>
      </xdr:nvGrpSpPr>
      <xdr:grpSpPr>
        <a:xfrm>
          <a:off x="1011043" y="21426353"/>
          <a:ext cx="4285826" cy="603249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53" name="Avrundet rektangel 33">
            <a:extLst>
              <a:ext uri="{FF2B5EF4-FFF2-40B4-BE49-F238E27FC236}">
                <a16:creationId xmlns:a16="http://schemas.microsoft.com/office/drawing/2014/main" id="{667A67E7-A1FE-82D3-F558-4031CF282BD0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1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Lue lisää osoitteessa anskaffelser.no</a:t>
            </a:r>
            <a:endParaRPr lang="nb-NO" sz="1800" b="1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54" name="Grafikk 51">
            <a:extLst>
              <a:ext uri="{FF2B5EF4-FFF2-40B4-BE49-F238E27FC236}">
                <a16:creationId xmlns:a16="http://schemas.microsoft.com/office/drawing/2014/main" id="{D0C45628-F5AA-F29C-0E0E-27AC1555AA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>
            <a:extLs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4651083" y="6801308"/>
            <a:ext cx="137482" cy="34535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1276348</xdr:colOff>
      <xdr:row>65</xdr:row>
      <xdr:rowOff>27520</xdr:rowOff>
    </xdr:from>
    <xdr:to>
      <xdr:col>7</xdr:col>
      <xdr:colOff>1164715</xdr:colOff>
      <xdr:row>78</xdr:row>
      <xdr:rowOff>77558</xdr:rowOff>
    </xdr:to>
    <xdr:pic>
      <xdr:nvPicPr>
        <xdr:cNvPr id="55" name="Grafikk 54">
          <a:extLst>
            <a:ext uri="{FF2B5EF4-FFF2-40B4-BE49-F238E27FC236}">
              <a16:creationId xmlns:a16="http://schemas.microsoft.com/office/drawing/2014/main" id="{BFE3982B-E7A2-40B4-88DB-91E7F9D0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14925675" y="20050125"/>
          <a:ext cx="3829050" cy="2524125"/>
        </a:xfrm>
        <a:prstGeom prst="rect">
          <a:avLst/>
        </a:prstGeom>
      </xdr:spPr>
    </xdr:pic>
    <xdr:clientData/>
  </xdr:twoCellAnchor>
  <xdr:twoCellAnchor>
    <xdr:from>
      <xdr:col>3</xdr:col>
      <xdr:colOff>2305050</xdr:colOff>
      <xdr:row>20</xdr:row>
      <xdr:rowOff>0</xdr:rowOff>
    </xdr:from>
    <xdr:to>
      <xdr:col>10</xdr:col>
      <xdr:colOff>723900</xdr:colOff>
      <xdr:row>30</xdr:row>
      <xdr:rowOff>266700</xdr:rowOff>
    </xdr:to>
    <xdr:graphicFrame macro="">
      <xdr:nvGraphicFramePr>
        <xdr:cNvPr id="11" name="Chart 37">
          <a:extLst>
            <a:ext uri="{FF2B5EF4-FFF2-40B4-BE49-F238E27FC236}">
              <a16:creationId xmlns:a16="http://schemas.microsoft.com/office/drawing/2014/main" id="{02FE037B-C1DB-4477-824F-AF36D45C14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0</xdr:row>
      <xdr:rowOff>13970</xdr:rowOff>
    </xdr:from>
    <xdr:to>
      <xdr:col>1</xdr:col>
      <xdr:colOff>2913380</xdr:colOff>
      <xdr:row>1</xdr:row>
      <xdr:rowOff>6350</xdr:rowOff>
    </xdr:to>
    <xdr:sp macro="" textlink="">
      <xdr:nvSpPr>
        <xdr:cNvPr id="12" name="TekstSylinder 2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C0377FA-3AB4-44E1-86ED-E82043C02460}"/>
            </a:ext>
          </a:extLst>
        </xdr:cNvPr>
        <xdr:cNvSpPr txBox="1"/>
      </xdr:nvSpPr>
      <xdr:spPr>
        <a:xfrm>
          <a:off x="1009650" y="9525"/>
          <a:ext cx="29146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l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2206161</xdr:colOff>
      <xdr:row>0</xdr:row>
      <xdr:rowOff>1270</xdr:rowOff>
    </xdr:from>
    <xdr:to>
      <xdr:col>2</xdr:col>
      <xdr:colOff>743121</xdr:colOff>
      <xdr:row>0</xdr:row>
      <xdr:rowOff>824230</xdr:rowOff>
    </xdr:to>
    <xdr:sp macro="" textlink="">
      <xdr:nvSpPr>
        <xdr:cNvPr id="13" name="TekstSylinder 6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CD7E6C1-37C6-45C6-BADB-39911D22001D}"/>
            </a:ext>
          </a:extLst>
        </xdr:cNvPr>
        <xdr:cNvSpPr txBox="1"/>
      </xdr:nvSpPr>
      <xdr:spPr>
        <a:xfrm>
          <a:off x="3219450" y="0"/>
          <a:ext cx="19621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2</xdr:col>
      <xdr:colOff>522947</xdr:colOff>
      <xdr:row>0</xdr:row>
      <xdr:rowOff>0</xdr:rowOff>
    </xdr:from>
    <xdr:to>
      <xdr:col>2</xdr:col>
      <xdr:colOff>3182327</xdr:colOff>
      <xdr:row>0</xdr:row>
      <xdr:rowOff>825500</xdr:rowOff>
    </xdr:to>
    <xdr:sp macro="" textlink="">
      <xdr:nvSpPr>
        <xdr:cNvPr id="14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86ED423-6307-49E8-8909-E81045766809}"/>
            </a:ext>
          </a:extLst>
        </xdr:cNvPr>
        <xdr:cNvSpPr txBox="1"/>
      </xdr:nvSpPr>
      <xdr:spPr>
        <a:xfrm>
          <a:off x="4962525" y="0"/>
          <a:ext cx="2514600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2946914</xdr:colOff>
      <xdr:row>0</xdr:row>
      <xdr:rowOff>0</xdr:rowOff>
    </xdr:from>
    <xdr:to>
      <xdr:col>3</xdr:col>
      <xdr:colOff>1963934</xdr:colOff>
      <xdr:row>0</xdr:row>
      <xdr:rowOff>825500</xdr:rowOff>
    </xdr:to>
    <xdr:sp macro="" textlink="">
      <xdr:nvSpPr>
        <xdr:cNvPr id="15" name="TekstSylinder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BF08A19-C78A-4120-BCB3-57322A5BA865}"/>
            </a:ext>
          </a:extLst>
        </xdr:cNvPr>
        <xdr:cNvSpPr txBox="1"/>
      </xdr:nvSpPr>
      <xdr:spPr>
        <a:xfrm>
          <a:off x="7381875" y="0"/>
          <a:ext cx="2057400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417829</xdr:colOff>
      <xdr:row>0</xdr:row>
      <xdr:rowOff>248139</xdr:rowOff>
    </xdr:from>
    <xdr:to>
      <xdr:col>0</xdr:col>
      <xdr:colOff>854399</xdr:colOff>
      <xdr:row>0</xdr:row>
      <xdr:rowOff>631224</xdr:rowOff>
    </xdr:to>
    <xdr:pic>
      <xdr:nvPicPr>
        <xdr:cNvPr id="21" name="Grafik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A833EEA-B448-4615-A6A6-583A523E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19100" y="247650"/>
          <a:ext cx="438150" cy="38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1073150</xdr:colOff>
      <xdr:row>6</xdr:row>
      <xdr:rowOff>171450</xdr:rowOff>
    </xdr:from>
    <xdr:to>
      <xdr:col>17</xdr:col>
      <xdr:colOff>1174750</xdr:colOff>
      <xdr:row>11</xdr:row>
      <xdr:rowOff>143002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1ACEA51B-434C-4B9C-BEDE-8219E75D0AFD}"/>
            </a:ext>
          </a:extLst>
        </xdr:cNvPr>
        <xdr:cNvSpPr txBox="1"/>
      </xdr:nvSpPr>
      <xdr:spPr>
        <a:xfrm>
          <a:off x="1009650" y="1952625"/>
          <a:ext cx="45110400" cy="9239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Hankinta ja vaikutus</a:t>
          </a:r>
        </a:p>
      </xdr:txBody>
    </xdr:sp>
    <xdr:clientData/>
  </xdr:twoCellAnchor>
  <xdr:twoCellAnchor>
    <xdr:from>
      <xdr:col>0</xdr:col>
      <xdr:colOff>1073150</xdr:colOff>
      <xdr:row>5</xdr:row>
      <xdr:rowOff>3175</xdr:rowOff>
    </xdr:from>
    <xdr:to>
      <xdr:col>17</xdr:col>
      <xdr:colOff>1162050</xdr:colOff>
      <xdr:row>8</xdr:row>
      <xdr:rowOff>161925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C3DF54C4-3F77-4578-BE0E-AB8F9E451C62}"/>
            </a:ext>
          </a:extLst>
        </xdr:cNvPr>
        <xdr:cNvSpPr txBox="1"/>
      </xdr:nvSpPr>
      <xdr:spPr>
        <a:xfrm>
          <a:off x="1009650" y="1590675"/>
          <a:ext cx="4510087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Vaikutuslaskuri ICT-laitteille</a:t>
          </a:r>
        </a:p>
      </xdr:txBody>
    </xdr:sp>
    <xdr:clientData/>
  </xdr:twoCellAnchor>
  <xdr:twoCellAnchor>
    <xdr:from>
      <xdr:col>0</xdr:col>
      <xdr:colOff>1073150</xdr:colOff>
      <xdr:row>11</xdr:row>
      <xdr:rowOff>161925</xdr:rowOff>
    </xdr:from>
    <xdr:to>
      <xdr:col>17</xdr:col>
      <xdr:colOff>1174750</xdr:colOff>
      <xdr:row>15</xdr:row>
      <xdr:rowOff>130175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10D9BCCD-3217-4FFE-A28B-5923837F6DAD}"/>
            </a:ext>
          </a:extLst>
        </xdr:cNvPr>
        <xdr:cNvSpPr txBox="1"/>
      </xdr:nvSpPr>
      <xdr:spPr>
        <a:xfrm>
          <a:off x="1009650" y="2895600"/>
          <a:ext cx="451104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Ota käyttöön ja harkitse mahdollisia toimenpiteitä ICT-laitehankintojen ympäristövaikutusten vähentämiseksi.</a:t>
          </a:r>
        </a:p>
      </xdr:txBody>
    </xdr:sp>
    <xdr:clientData/>
  </xdr:twoCellAnchor>
  <xdr:twoCellAnchor>
    <xdr:from>
      <xdr:col>1</xdr:col>
      <xdr:colOff>532708</xdr:colOff>
      <xdr:row>58</xdr:row>
      <xdr:rowOff>53494</xdr:rowOff>
    </xdr:from>
    <xdr:to>
      <xdr:col>6</xdr:col>
      <xdr:colOff>1412857</xdr:colOff>
      <xdr:row>59</xdr:row>
      <xdr:rowOff>147012</xdr:rowOff>
    </xdr:to>
    <xdr:sp macro="" textlink="" fLocksText="0">
      <xdr:nvSpPr>
        <xdr:cNvPr id="80" name="TekstSylinder 4">
          <a:extLst>
            <a:ext uri="{FF2B5EF4-FFF2-40B4-BE49-F238E27FC236}">
              <a16:creationId xmlns:a16="http://schemas.microsoft.com/office/drawing/2014/main" id="{6490E386-A0E4-4052-90F0-EC7F69B195F9}"/>
            </a:ext>
          </a:extLst>
        </xdr:cNvPr>
        <xdr:cNvSpPr txBox="1"/>
      </xdr:nvSpPr>
      <xdr:spPr>
        <a:xfrm>
          <a:off x="1543050" y="29508450"/>
          <a:ext cx="1813560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Hankintastrategiasi säästää ilmastoa:</a:t>
          </a:r>
        </a:p>
      </xdr:txBody>
    </xdr:sp>
    <xdr:clientData/>
  </xdr:twoCellAnchor>
  <xdr:twoCellAnchor>
    <xdr:from>
      <xdr:col>0</xdr:col>
      <xdr:colOff>1065315</xdr:colOff>
      <xdr:row>62</xdr:row>
      <xdr:rowOff>92898</xdr:rowOff>
    </xdr:from>
    <xdr:to>
      <xdr:col>5</xdr:col>
      <xdr:colOff>83820</xdr:colOff>
      <xdr:row>73</xdr:row>
      <xdr:rowOff>38560</xdr:rowOff>
    </xdr:to>
    <xdr:grpSp>
      <xdr:nvGrpSpPr>
        <xdr:cNvPr id="6" name="Gruppe 45">
          <a:extLst>
            <a:ext uri="{FF2B5EF4-FFF2-40B4-BE49-F238E27FC236}">
              <a16:creationId xmlns:a16="http://schemas.microsoft.com/office/drawing/2014/main" id="{C22003CC-E5B6-48A7-B620-B0BFBC704412}"/>
            </a:ext>
          </a:extLst>
        </xdr:cNvPr>
        <xdr:cNvGrpSpPr>
          <a:grpSpLocks/>
        </xdr:cNvGrpSpPr>
      </xdr:nvGrpSpPr>
      <xdr:grpSpPr>
        <a:xfrm>
          <a:off x="1008165" y="30630048"/>
          <a:ext cx="15287205" cy="1936387"/>
          <a:chOff x="14739977" y="16070058"/>
          <a:chExt cx="4171645" cy="1187018"/>
        </a:xfrm>
      </xdr:grpSpPr>
      <xdr:sp macro="" textlink="">
        <xdr:nvSpPr>
          <xdr:cNvPr id="7" name="Avrundet rektangel 46">
            <a:extLst>
              <a:ext uri="{FF2B5EF4-FFF2-40B4-BE49-F238E27FC236}">
                <a16:creationId xmlns:a16="http://schemas.microsoft.com/office/drawing/2014/main" id="{7F8E8784-C404-DE77-0534-4943F95A8FE2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Olet pienentänyt ilmastojalanjälkeäsi yhteensä 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90">
        <xdr:nvSpPr>
          <xdr:cNvPr id="8" name="TekstSylinder 47">
            <a:extLst>
              <a:ext uri="{FF2B5EF4-FFF2-40B4-BE49-F238E27FC236}">
                <a16:creationId xmlns:a16="http://schemas.microsoft.com/office/drawing/2014/main" id="{1E5DD3B3-0B40-02F0-A49A-08D327F1E8E2}"/>
              </a:ext>
            </a:extLst>
          </xdr:cNvPr>
          <xdr:cNvSpPr txBox="1"/>
        </xdr:nvSpPr>
        <xdr:spPr>
          <a:xfrm>
            <a:off x="14739977" y="16451576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8684BC0A-6753-4532-875D-B2A234616547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1024499</xdr:colOff>
      <xdr:row>70</xdr:row>
      <xdr:rowOff>103814</xdr:rowOff>
    </xdr:from>
    <xdr:to>
      <xdr:col>2</xdr:col>
      <xdr:colOff>2079939</xdr:colOff>
      <xdr:row>72</xdr:row>
      <xdr:rowOff>88900</xdr:rowOff>
    </xdr:to>
    <xdr:sp macro="" textlink="">
      <xdr:nvSpPr>
        <xdr:cNvPr id="9" name="TekstSylinder 47">
          <a:extLst>
            <a:ext uri="{FF2B5EF4-FFF2-40B4-BE49-F238E27FC236}">
              <a16:creationId xmlns:a16="http://schemas.microsoft.com/office/drawing/2014/main" id="{5C16DBEB-EF91-4924-B157-C07BA8E46F89}"/>
            </a:ext>
          </a:extLst>
        </xdr:cNvPr>
        <xdr:cNvSpPr txBox="1"/>
      </xdr:nvSpPr>
      <xdr:spPr>
        <a:xfrm>
          <a:off x="1009650" y="32375475"/>
          <a:ext cx="60198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373105</xdr:colOff>
      <xdr:row>64</xdr:row>
      <xdr:rowOff>85290</xdr:rowOff>
    </xdr:from>
    <xdr:to>
      <xdr:col>5</xdr:col>
      <xdr:colOff>1005839</xdr:colOff>
      <xdr:row>71</xdr:row>
      <xdr:rowOff>104316</xdr:rowOff>
    </xdr:to>
    <xdr:grpSp>
      <xdr:nvGrpSpPr>
        <xdr:cNvPr id="10" name="Gruppe 54">
          <a:extLst>
            <a:ext uri="{FF2B5EF4-FFF2-40B4-BE49-F238E27FC236}">
              <a16:creationId xmlns:a16="http://schemas.microsoft.com/office/drawing/2014/main" id="{3CEE6F3B-61E7-4848-BE9F-35129EC21049}"/>
            </a:ext>
          </a:extLst>
        </xdr:cNvPr>
        <xdr:cNvGrpSpPr>
          <a:grpSpLocks/>
        </xdr:cNvGrpSpPr>
      </xdr:nvGrpSpPr>
      <xdr:grpSpPr>
        <a:xfrm>
          <a:off x="9364705" y="30984390"/>
          <a:ext cx="7852684" cy="1285851"/>
          <a:chOff x="6235068" y="27112558"/>
          <a:chExt cx="3949324" cy="1346020"/>
        </a:xfrm>
      </xdr:grpSpPr>
      <xdr:sp macro="" textlink="$E$191">
        <xdr:nvSpPr>
          <xdr:cNvPr id="11" name="TekstSylinder 47">
            <a:extLst>
              <a:ext uri="{FF2B5EF4-FFF2-40B4-BE49-F238E27FC236}">
                <a16:creationId xmlns:a16="http://schemas.microsoft.com/office/drawing/2014/main" id="{F744C771-E9B4-61DE-B177-0BC7F258E90F}"/>
              </a:ext>
            </a:extLst>
          </xdr:cNvPr>
          <xdr:cNvSpPr txBox="1"/>
        </xdr:nvSpPr>
        <xdr:spPr>
          <a:xfrm>
            <a:off x="6235068" y="27368611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89015AEB-4C7C-4A30-A70C-A79FBCFB8F4E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flyreiser</a:t>
            </a:fld>
            <a:endParaRPr lang="nb-NO" sz="4000" b="1">
              <a:solidFill>
                <a:schemeClr val="bg1"/>
              </a:solidFill>
            </a:endParaRPr>
          </a:p>
        </xdr:txBody>
      </xdr:sp>
      <xdr:sp macro="" textlink="">
        <xdr:nvSpPr>
          <xdr:cNvPr id="13" name="TekstSylinder 47">
            <a:extLst>
              <a:ext uri="{FF2B5EF4-FFF2-40B4-BE49-F238E27FC236}">
                <a16:creationId xmlns:a16="http://schemas.microsoft.com/office/drawing/2014/main" id="{4613BDF1-E07F-212C-1181-FFEE52199FAF}"/>
              </a:ext>
            </a:extLst>
          </xdr:cNvPr>
          <xdr:cNvSpPr txBox="1"/>
        </xdr:nvSpPr>
        <xdr:spPr>
          <a:xfrm>
            <a:off x="6242588" y="28088643"/>
            <a:ext cx="3941804" cy="3699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Meno-paluu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  <xdr:pic>
        <xdr:nvPicPr>
          <xdr:cNvPr id="12" name="Grafikk 56">
            <a:extLst>
              <a:ext uri="{FF2B5EF4-FFF2-40B4-BE49-F238E27FC236}">
                <a16:creationId xmlns:a16="http://schemas.microsoft.com/office/drawing/2014/main" id="{41063FD9-57C7-69D7-A1BA-FD15EE5891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 rot="18900000">
            <a:off x="9024565" y="27112558"/>
            <a:ext cx="475753" cy="116146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608058</xdr:colOff>
      <xdr:row>62</xdr:row>
      <xdr:rowOff>108773</xdr:rowOff>
    </xdr:from>
    <xdr:to>
      <xdr:col>7</xdr:col>
      <xdr:colOff>1181113</xdr:colOff>
      <xdr:row>73</xdr:row>
      <xdr:rowOff>55756</xdr:rowOff>
    </xdr:to>
    <xdr:grpSp>
      <xdr:nvGrpSpPr>
        <xdr:cNvPr id="14" name="Gruppe 45">
          <a:extLst>
            <a:ext uri="{FF2B5EF4-FFF2-40B4-BE49-F238E27FC236}">
              <a16:creationId xmlns:a16="http://schemas.microsoft.com/office/drawing/2014/main" id="{A0E09B74-B030-463F-8110-6E7FAF938869}"/>
            </a:ext>
          </a:extLst>
        </xdr:cNvPr>
        <xdr:cNvGrpSpPr>
          <a:grpSpLocks/>
        </xdr:cNvGrpSpPr>
      </xdr:nvGrpSpPr>
      <xdr:grpSpPr>
        <a:xfrm>
          <a:off x="16819608" y="30645923"/>
          <a:ext cx="7231030" cy="1937708"/>
          <a:chOff x="14712757" y="15428951"/>
          <a:chExt cx="4507806" cy="1187018"/>
        </a:xfrm>
      </xdr:grpSpPr>
      <xdr:sp macro="" textlink="">
        <xdr:nvSpPr>
          <xdr:cNvPr id="15" name="Avrundet rektangel 46">
            <a:extLst>
              <a:ext uri="{FF2B5EF4-FFF2-40B4-BE49-F238E27FC236}">
                <a16:creationId xmlns:a16="http://schemas.microsoft.com/office/drawing/2014/main" id="{A87BA1EB-B418-DE80-678C-9206CEE78E7B}"/>
              </a:ext>
            </a:extLst>
          </xdr:cNvPr>
          <xdr:cNvSpPr/>
        </xdr:nvSpPr>
        <xdr:spPr>
          <a:xfrm>
            <a:off x="14757739" y="15428951"/>
            <a:ext cx="4462824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Vuosittainen ilmastojalanjäljen pienentäminen </a:t>
            </a:r>
          </a:p>
        </xdr:txBody>
      </xdr:sp>
      <xdr:sp macro="" textlink="$C$193">
        <xdr:nvSpPr>
          <xdr:cNvPr id="16" name="TekstSylinder 47">
            <a:extLst>
              <a:ext uri="{FF2B5EF4-FFF2-40B4-BE49-F238E27FC236}">
                <a16:creationId xmlns:a16="http://schemas.microsoft.com/office/drawing/2014/main" id="{4E52C4EA-CB04-29F7-F9BD-4531444D00A3}"/>
              </a:ext>
            </a:extLst>
          </xdr:cNvPr>
          <xdr:cNvSpPr txBox="1"/>
        </xdr:nvSpPr>
        <xdr:spPr>
          <a:xfrm>
            <a:off x="14712757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C2EE53DF-DD29-4096-BC40-226979B7258C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5</xdr:col>
      <xdr:colOff>692683</xdr:colOff>
      <xdr:row>70</xdr:row>
      <xdr:rowOff>50341</xdr:rowOff>
    </xdr:from>
    <xdr:to>
      <xdr:col>8</xdr:col>
      <xdr:colOff>527384</xdr:colOff>
      <xdr:row>72</xdr:row>
      <xdr:rowOff>35426</xdr:rowOff>
    </xdr:to>
    <xdr:sp macro="" textlink="">
      <xdr:nvSpPr>
        <xdr:cNvPr id="17" name="TekstSylinder 47">
          <a:extLst>
            <a:ext uri="{FF2B5EF4-FFF2-40B4-BE49-F238E27FC236}">
              <a16:creationId xmlns:a16="http://schemas.microsoft.com/office/drawing/2014/main" id="{6B28EFF2-DC2A-4F19-906F-62B9F381BB25}"/>
            </a:ext>
          </a:extLst>
        </xdr:cNvPr>
        <xdr:cNvSpPr txBox="1"/>
      </xdr:nvSpPr>
      <xdr:spPr>
        <a:xfrm>
          <a:off x="15154275" y="32318325"/>
          <a:ext cx="93440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1185488</xdr:colOff>
      <xdr:row>78</xdr:row>
      <xdr:rowOff>44255</xdr:rowOff>
    </xdr:from>
    <xdr:to>
      <xdr:col>6</xdr:col>
      <xdr:colOff>1841269</xdr:colOff>
      <xdr:row>82</xdr:row>
      <xdr:rowOff>82740</xdr:rowOff>
    </xdr:to>
    <xdr:sp macro="" textlink="" fLocksText="0">
      <xdr:nvSpPr>
        <xdr:cNvPr id="18" name="TekstSylinder 17">
          <a:extLst>
            <a:ext uri="{FF2B5EF4-FFF2-40B4-BE49-F238E27FC236}">
              <a16:creationId xmlns:a16="http://schemas.microsoft.com/office/drawing/2014/main" id="{6E3E8D93-5E50-4018-9029-B599BB570BF6}"/>
            </a:ext>
          </a:extLst>
        </xdr:cNvPr>
        <xdr:cNvSpPr txBox="1"/>
      </xdr:nvSpPr>
      <xdr:spPr>
        <a:xfrm>
          <a:off x="1009650" y="33842325"/>
          <a:ext cx="1909762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800" b="1" i="0" u="none" baseline="0">
              <a:solidFill>
                <a:srgbClr val="E5F6FC"/>
              </a:solidFill>
              <a:latin typeface="Source Sans Pro"/>
              <a:ea typeface="Source Sans Pro"/>
            </a:rPr>
            <a:t>Säästät myös rahaa – arvioimme, että säästät</a:t>
          </a:r>
          <a:endParaRPr lang="nb-NO" sz="2800" b="1">
            <a:solidFill>
              <a:srgbClr val="E5F6FC"/>
            </a:solidFill>
          </a:endParaRPr>
        </a:p>
      </xdr:txBody>
    </xdr:sp>
    <xdr:clientData/>
  </xdr:twoCellAnchor>
  <xdr:twoCellAnchor>
    <xdr:from>
      <xdr:col>0</xdr:col>
      <xdr:colOff>1133489</xdr:colOff>
      <xdr:row>82</xdr:row>
      <xdr:rowOff>151918</xdr:rowOff>
    </xdr:from>
    <xdr:to>
      <xdr:col>2</xdr:col>
      <xdr:colOff>2151858</xdr:colOff>
      <xdr:row>93</xdr:row>
      <xdr:rowOff>36940</xdr:rowOff>
    </xdr:to>
    <xdr:grpSp>
      <xdr:nvGrpSpPr>
        <xdr:cNvPr id="19" name="Gruppe 45">
          <a:extLst>
            <a:ext uri="{FF2B5EF4-FFF2-40B4-BE49-F238E27FC236}">
              <a16:creationId xmlns:a16="http://schemas.microsoft.com/office/drawing/2014/main" id="{2B399BC2-BC62-4993-B34C-EE87F71CDA7E}"/>
            </a:ext>
          </a:extLst>
        </xdr:cNvPr>
        <xdr:cNvGrpSpPr>
          <a:grpSpLocks/>
        </xdr:cNvGrpSpPr>
      </xdr:nvGrpSpPr>
      <xdr:grpSpPr>
        <a:xfrm>
          <a:off x="1009664" y="34308568"/>
          <a:ext cx="7400119" cy="1875747"/>
          <a:chOff x="14757740" y="15428951"/>
          <a:chExt cx="3749826" cy="1187018"/>
        </a:xfrm>
      </xdr:grpSpPr>
      <xdr:sp macro="" textlink="">
        <xdr:nvSpPr>
          <xdr:cNvPr id="20" name="Avrundet rektangel 46">
            <a:extLst>
              <a:ext uri="{FF2B5EF4-FFF2-40B4-BE49-F238E27FC236}">
                <a16:creationId xmlns:a16="http://schemas.microsoft.com/office/drawing/2014/main" id="{0D767D80-0138-480F-492F-C5FD729A42FD}"/>
              </a:ext>
            </a:extLst>
          </xdr:cNvPr>
          <xdr:cNvSpPr/>
        </xdr:nvSpPr>
        <xdr:spPr>
          <a:xfrm>
            <a:off x="14757740" y="15428951"/>
            <a:ext cx="3466708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Säästöt yhteensä</a:t>
            </a:r>
          </a:p>
        </xdr:txBody>
      </xdr:sp>
      <xdr:sp macro="" textlink="$C$197">
        <xdr:nvSpPr>
          <xdr:cNvPr id="21" name="TekstSylinder 47">
            <a:extLst>
              <a:ext uri="{FF2B5EF4-FFF2-40B4-BE49-F238E27FC236}">
                <a16:creationId xmlns:a16="http://schemas.microsoft.com/office/drawing/2014/main" id="{594181D1-28C0-76FD-29B5-F4039628381B}"/>
              </a:ext>
            </a:extLst>
          </xdr:cNvPr>
          <xdr:cNvSpPr txBox="1"/>
        </xdr:nvSpPr>
        <xdr:spPr>
          <a:xfrm>
            <a:off x="14761066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DA081403-D45B-45C7-9466-D277D0FFF087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NOK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2039631</xdr:colOff>
      <xdr:row>82</xdr:row>
      <xdr:rowOff>150379</xdr:rowOff>
    </xdr:from>
    <xdr:to>
      <xdr:col>4</xdr:col>
      <xdr:colOff>2083760</xdr:colOff>
      <xdr:row>93</xdr:row>
      <xdr:rowOff>35401</xdr:rowOff>
    </xdr:to>
    <xdr:grpSp>
      <xdr:nvGrpSpPr>
        <xdr:cNvPr id="22" name="Gruppe 45">
          <a:extLst>
            <a:ext uri="{FF2B5EF4-FFF2-40B4-BE49-F238E27FC236}">
              <a16:creationId xmlns:a16="http://schemas.microsoft.com/office/drawing/2014/main" id="{3BBAF858-E343-403C-AE58-5E48913F7EEE}"/>
            </a:ext>
          </a:extLst>
        </xdr:cNvPr>
        <xdr:cNvGrpSpPr>
          <a:grpSpLocks/>
        </xdr:cNvGrpSpPr>
      </xdr:nvGrpSpPr>
      <xdr:grpSpPr>
        <a:xfrm>
          <a:off x="8297556" y="34307029"/>
          <a:ext cx="5511479" cy="1875747"/>
          <a:chOff x="14705531" y="15428951"/>
          <a:chExt cx="3746500" cy="1187018"/>
        </a:xfrm>
      </xdr:grpSpPr>
      <xdr:sp macro="" textlink="">
        <xdr:nvSpPr>
          <xdr:cNvPr id="23" name="Avrundet rektangel 46">
            <a:extLst>
              <a:ext uri="{FF2B5EF4-FFF2-40B4-BE49-F238E27FC236}">
                <a16:creationId xmlns:a16="http://schemas.microsoft.com/office/drawing/2014/main" id="{BA045357-83BA-314E-6AE2-0250416F3F8E}"/>
              </a:ext>
            </a:extLst>
          </xdr:cNvPr>
          <xdr:cNvSpPr/>
        </xdr:nvSpPr>
        <xdr:spPr>
          <a:xfrm>
            <a:off x="14757739" y="15428951"/>
            <a:ext cx="3384342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Vuosittaiset säästöt</a:t>
            </a:r>
          </a:p>
        </xdr:txBody>
      </xdr:sp>
      <xdr:sp macro="" textlink="$E$197">
        <xdr:nvSpPr>
          <xdr:cNvPr id="24" name="TekstSylinder 47">
            <a:extLst>
              <a:ext uri="{FF2B5EF4-FFF2-40B4-BE49-F238E27FC236}">
                <a16:creationId xmlns:a16="http://schemas.microsoft.com/office/drawing/2014/main" id="{CD08500E-B1C7-8AAD-968A-2E3601D68802}"/>
              </a:ext>
            </a:extLst>
          </xdr:cNvPr>
          <xdr:cNvSpPr txBox="1"/>
        </xdr:nvSpPr>
        <xdr:spPr>
          <a:xfrm>
            <a:off x="14705531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B967F8F0-3479-4C25-9540-3C1655386325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NOK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1131718</xdr:colOff>
      <xdr:row>90</xdr:row>
      <xdr:rowOff>118129</xdr:rowOff>
    </xdr:from>
    <xdr:to>
      <xdr:col>2</xdr:col>
      <xdr:colOff>2187158</xdr:colOff>
      <xdr:row>92</xdr:row>
      <xdr:rowOff>107024</xdr:rowOff>
    </xdr:to>
    <xdr:sp macro="" textlink="">
      <xdr:nvSpPr>
        <xdr:cNvPr id="25" name="TekstSylinder 47">
          <a:extLst>
            <a:ext uri="{FF2B5EF4-FFF2-40B4-BE49-F238E27FC236}">
              <a16:creationId xmlns:a16="http://schemas.microsoft.com/office/drawing/2014/main" id="{EFE867F2-22A1-4563-8F39-53EB9300888B}"/>
            </a:ext>
          </a:extLst>
        </xdr:cNvPr>
        <xdr:cNvSpPr txBox="1"/>
      </xdr:nvSpPr>
      <xdr:spPr>
        <a:xfrm>
          <a:off x="1009650" y="36195000"/>
          <a:ext cx="61341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2109002</xdr:colOff>
      <xdr:row>90</xdr:row>
      <xdr:rowOff>93345</xdr:rowOff>
    </xdr:from>
    <xdr:to>
      <xdr:col>4</xdr:col>
      <xdr:colOff>2190391</xdr:colOff>
      <xdr:row>92</xdr:row>
      <xdr:rowOff>78430</xdr:rowOff>
    </xdr:to>
    <xdr:sp macro="" textlink="">
      <xdr:nvSpPr>
        <xdr:cNvPr id="26" name="TekstSylinder 47">
          <a:extLst>
            <a:ext uri="{FF2B5EF4-FFF2-40B4-BE49-F238E27FC236}">
              <a16:creationId xmlns:a16="http://schemas.microsoft.com/office/drawing/2014/main" id="{C783BBC3-10A3-484F-AB80-160B95040D0F}"/>
            </a:ext>
          </a:extLst>
        </xdr:cNvPr>
        <xdr:cNvSpPr txBox="1"/>
      </xdr:nvSpPr>
      <xdr:spPr>
        <a:xfrm>
          <a:off x="7058025" y="36175950"/>
          <a:ext cx="555307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955192</xdr:colOff>
      <xdr:row>114</xdr:row>
      <xdr:rowOff>168542</xdr:rowOff>
    </xdr:from>
    <xdr:to>
      <xdr:col>23</xdr:col>
      <xdr:colOff>1095376</xdr:colOff>
      <xdr:row>141</xdr:row>
      <xdr:rowOff>1082040</xdr:rowOff>
    </xdr:to>
    <xdr:sp macro="" textlink="">
      <xdr:nvSpPr>
        <xdr:cNvPr id="65" name="Avrundet rektangel 31">
          <a:extLst>
            <a:ext uri="{FF2B5EF4-FFF2-40B4-BE49-F238E27FC236}">
              <a16:creationId xmlns:a16="http://schemas.microsoft.com/office/drawing/2014/main" id="{3A34F596-2C84-4EDB-B6E7-9721281E4BB4}"/>
            </a:ext>
          </a:extLst>
        </xdr:cNvPr>
        <xdr:cNvSpPr/>
      </xdr:nvSpPr>
      <xdr:spPr>
        <a:xfrm>
          <a:off x="955192" y="42888167"/>
          <a:ext cx="62147934" cy="6056998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1187551</xdr:colOff>
      <xdr:row>94</xdr:row>
      <xdr:rowOff>1247232</xdr:rowOff>
    </xdr:from>
    <xdr:to>
      <xdr:col>8</xdr:col>
      <xdr:colOff>317198</xdr:colOff>
      <xdr:row>99</xdr:row>
      <xdr:rowOff>29868</xdr:rowOff>
    </xdr:to>
    <xdr:sp macro="" textlink="" fLocksText="0">
      <xdr:nvSpPr>
        <xdr:cNvPr id="28" name="TekstSylinder 27">
          <a:extLst>
            <a:ext uri="{FF2B5EF4-FFF2-40B4-BE49-F238E27FC236}">
              <a16:creationId xmlns:a16="http://schemas.microsoft.com/office/drawing/2014/main" id="{176E9034-B5B6-49F4-9000-E13A3ECE0E6D}"/>
            </a:ext>
          </a:extLst>
        </xdr:cNvPr>
        <xdr:cNvSpPr txBox="1"/>
      </xdr:nvSpPr>
      <xdr:spPr>
        <a:xfrm>
          <a:off x="1009650" y="38090475"/>
          <a:ext cx="23269575" cy="7905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Tulokset</a:t>
          </a:r>
        </a:p>
      </xdr:txBody>
    </xdr:sp>
    <xdr:clientData/>
  </xdr:twoCellAnchor>
  <xdr:twoCellAnchor>
    <xdr:from>
      <xdr:col>0</xdr:col>
      <xdr:colOff>1233967</xdr:colOff>
      <xdr:row>100</xdr:row>
      <xdr:rowOff>33866</xdr:rowOff>
    </xdr:from>
    <xdr:to>
      <xdr:col>11</xdr:col>
      <xdr:colOff>678139</xdr:colOff>
      <xdr:row>105</xdr:row>
      <xdr:rowOff>76199</xdr:rowOff>
    </xdr:to>
    <xdr:sp macro="" textlink="" fLocksText="0">
      <xdr:nvSpPr>
        <xdr:cNvPr id="29" name="TekstSylinder 54">
          <a:extLst>
            <a:ext uri="{FF2B5EF4-FFF2-40B4-BE49-F238E27FC236}">
              <a16:creationId xmlns:a16="http://schemas.microsoft.com/office/drawing/2014/main" id="{5CF780A0-7ED7-4741-B025-5EBCE75B19D4}"/>
            </a:ext>
          </a:extLst>
        </xdr:cNvPr>
        <xdr:cNvSpPr txBox="1"/>
      </xdr:nvSpPr>
      <xdr:spPr>
        <a:xfrm>
          <a:off x="1009650" y="39081075"/>
          <a:ext cx="26793825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Tässä näet ICT-säästösi valituilla toimenpiteillä verrattuna kaikkien yksiköiden ostamiseen uutena.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endParaRPr/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Valitse pudotusvalikosta, haluatko tarkastella jalanjälkeä vai kustannuksia.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Nouda tulos ottamalla kuvakaappaus kaaviosta tai piirtämällä oma kaaviosi kopioimalla tulos taulukosta. </a:t>
          </a:r>
        </a:p>
      </xdr:txBody>
    </xdr:sp>
    <xdr:clientData/>
  </xdr:twoCellAnchor>
  <xdr:twoCellAnchor>
    <xdr:from>
      <xdr:col>1</xdr:col>
      <xdr:colOff>611103</xdr:colOff>
      <xdr:row>29</xdr:row>
      <xdr:rowOff>737765</xdr:rowOff>
    </xdr:from>
    <xdr:to>
      <xdr:col>3</xdr:col>
      <xdr:colOff>1999027</xdr:colOff>
      <xdr:row>30</xdr:row>
      <xdr:rowOff>125791</xdr:rowOff>
    </xdr:to>
    <xdr:sp macro="" textlink="" fLocksText="0">
      <xdr:nvSpPr>
        <xdr:cNvPr id="30" name="Avrundet rektangel 30">
          <a:extLst>
            <a:ext uri="{FF2B5EF4-FFF2-40B4-BE49-F238E27FC236}">
              <a16:creationId xmlns:a16="http://schemas.microsoft.com/office/drawing/2014/main" id="{ADB14866-DCED-483D-A910-FB0C65A10871}"/>
            </a:ext>
          </a:extLst>
        </xdr:cNvPr>
        <xdr:cNvSpPr/>
      </xdr:nvSpPr>
      <xdr:spPr>
        <a:xfrm>
          <a:off x="1619250" y="10972800"/>
          <a:ext cx="8067675" cy="35242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Täytä tietosi ja valitse toimenpiteet</a:t>
          </a:r>
        </a:p>
      </xdr:txBody>
    </xdr:sp>
    <xdr:clientData/>
  </xdr:twoCellAnchor>
  <xdr:twoCellAnchor>
    <xdr:from>
      <xdr:col>3</xdr:col>
      <xdr:colOff>345440</xdr:colOff>
      <xdr:row>62</xdr:row>
      <xdr:rowOff>90914</xdr:rowOff>
    </xdr:from>
    <xdr:to>
      <xdr:col>5</xdr:col>
      <xdr:colOff>76200</xdr:colOff>
      <xdr:row>73</xdr:row>
      <xdr:rowOff>31328</xdr:rowOff>
    </xdr:to>
    <xdr:sp macro="" textlink="">
      <xdr:nvSpPr>
        <xdr:cNvPr id="31" name="Avrundet rektangel 46">
          <a:extLst>
            <a:ext uri="{FF2B5EF4-FFF2-40B4-BE49-F238E27FC236}">
              <a16:creationId xmlns:a16="http://schemas.microsoft.com/office/drawing/2014/main" id="{79D87D3F-30FD-4514-9E1E-323AB872A7C4}"/>
            </a:ext>
          </a:extLst>
        </xdr:cNvPr>
        <xdr:cNvSpPr/>
      </xdr:nvSpPr>
      <xdr:spPr>
        <a:xfrm>
          <a:off x="8029575" y="30841950"/>
          <a:ext cx="6505575" cy="203835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Tämä vastaa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952500</xdr:colOff>
      <xdr:row>19</xdr:row>
      <xdr:rowOff>215899</xdr:rowOff>
    </xdr:from>
    <xdr:to>
      <xdr:col>4</xdr:col>
      <xdr:colOff>723900</xdr:colOff>
      <xdr:row>26</xdr:row>
      <xdr:rowOff>2384777</xdr:rowOff>
    </xdr:to>
    <xdr:sp macro="" textlink="">
      <xdr:nvSpPr>
        <xdr:cNvPr id="40" name="Avrundet rektangel 40">
          <a:extLst>
            <a:ext uri="{FF2B5EF4-FFF2-40B4-BE49-F238E27FC236}">
              <a16:creationId xmlns:a16="http://schemas.microsoft.com/office/drawing/2014/main" id="{C9775156-A9E6-4469-8557-F79D993B7037}"/>
            </a:ext>
          </a:extLst>
        </xdr:cNvPr>
        <xdr:cNvSpPr/>
      </xdr:nvSpPr>
      <xdr:spPr>
        <a:xfrm>
          <a:off x="952500" y="4991100"/>
          <a:ext cx="10191750" cy="389572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245206</xdr:colOff>
      <xdr:row>21</xdr:row>
      <xdr:rowOff>56529</xdr:rowOff>
    </xdr:from>
    <xdr:to>
      <xdr:col>4</xdr:col>
      <xdr:colOff>53885</xdr:colOff>
      <xdr:row>26</xdr:row>
      <xdr:rowOff>136139</xdr:rowOff>
    </xdr:to>
    <xdr:grpSp>
      <xdr:nvGrpSpPr>
        <xdr:cNvPr id="41" name="Gruppe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D82D53-CD45-43A5-AE03-A81B2817FE80}"/>
            </a:ext>
          </a:extLst>
        </xdr:cNvPr>
        <xdr:cNvGrpSpPr>
          <a:grpSpLocks/>
        </xdr:cNvGrpSpPr>
      </xdr:nvGrpSpPr>
      <xdr:grpSpPr>
        <a:xfrm>
          <a:off x="1254856" y="5285754"/>
          <a:ext cx="10524304" cy="1155935"/>
          <a:chOff x="1687926" y="5450898"/>
          <a:chExt cx="8697242" cy="1153351"/>
        </a:xfrm>
      </xdr:grpSpPr>
      <xdr:sp macro="" textlink="">
        <xdr:nvSpPr>
          <xdr:cNvPr id="42" name="Ellipse 41">
            <a:extLst>
              <a:ext uri="{FF2B5EF4-FFF2-40B4-BE49-F238E27FC236}">
                <a16:creationId xmlns:a16="http://schemas.microsoft.com/office/drawing/2014/main" id="{405436D1-5909-9074-928A-4A0FD22D3C42}"/>
              </a:ext>
            </a:extLst>
          </xdr:cNvPr>
          <xdr:cNvSpPr>
            <a:spLocks noChangeAspect="1"/>
          </xdr:cNvSpPr>
        </xdr:nvSpPr>
        <xdr:spPr>
          <a:xfrm>
            <a:off x="1687926" y="5617348"/>
            <a:ext cx="462250" cy="506028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43" name="Grafikk 42">
            <a:extLst>
              <a:ext uri="{FF2B5EF4-FFF2-40B4-BE49-F238E27FC236}">
                <a16:creationId xmlns:a16="http://schemas.microsoft.com/office/drawing/2014/main" id="{107D3EBB-9F2A-E9D8-BACA-A6C8F8BD4B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199344" y="5823109"/>
            <a:ext cx="185824" cy="414193"/>
          </a:xfrm>
          <a:prstGeom prst="rect">
            <a:avLst/>
          </a:prstGeom>
        </xdr:spPr>
      </xdr:pic>
      <xdr:grpSp>
        <xdr:nvGrpSpPr>
          <xdr:cNvPr id="44" name="Gruppe 43">
            <a:extLst>
              <a:ext uri="{FF2B5EF4-FFF2-40B4-BE49-F238E27FC236}">
                <a16:creationId xmlns:a16="http://schemas.microsoft.com/office/drawing/2014/main" id="{54488E34-DF38-A653-E254-2ED1F3280851}"/>
              </a:ext>
            </a:extLst>
          </xdr:cNvPr>
          <xdr:cNvGrpSpPr>
            <a:grpSpLocks/>
          </xdr:cNvGrpSpPr>
        </xdr:nvGrpSpPr>
        <xdr:grpSpPr>
          <a:xfrm>
            <a:off x="2126764" y="5450898"/>
            <a:ext cx="6650875" cy="1153351"/>
            <a:chOff x="11127124" y="5760670"/>
            <a:chExt cx="6657706" cy="1145575"/>
          </a:xfrm>
        </xdr:grpSpPr>
        <xdr:sp macro="" textlink="">
          <xdr:nvSpPr>
            <xdr:cNvPr id="45" name="Avrundet rektangel 76">
              <a:extLst>
                <a:ext uri="{FF2B5EF4-FFF2-40B4-BE49-F238E27FC236}">
                  <a16:creationId xmlns:a16="http://schemas.microsoft.com/office/drawing/2014/main" id="{654E4E8B-2D43-0146-DBC1-2C667221E38B}"/>
                </a:ext>
              </a:extLst>
            </xdr:cNvPr>
            <xdr:cNvSpPr/>
          </xdr:nvSpPr>
          <xdr:spPr>
            <a:xfrm>
              <a:off x="11129692" y="5760670"/>
              <a:ext cx="4306512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tietosi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46" name="Avrundet rektangel 77">
              <a:extLst>
                <a:ext uri="{FF2B5EF4-FFF2-40B4-BE49-F238E27FC236}">
                  <a16:creationId xmlns:a16="http://schemas.microsoft.com/office/drawing/2014/main" id="{6D5379F7-6E68-E2CE-274C-B7D717ACE0A3}"/>
                </a:ext>
              </a:extLst>
            </xdr:cNvPr>
            <xdr:cNvSpPr/>
          </xdr:nvSpPr>
          <xdr:spPr>
            <a:xfrm>
              <a:off x="11127124" y="6208504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hankintatarpeesi ja -toimenpiteesi alla olevaan taulukkoon.</a:t>
              </a:r>
            </a:p>
          </xdr:txBody>
        </xdr:sp>
      </xdr:grpSp>
    </xdr:grpSp>
    <xdr:clientData/>
  </xdr:twoCellAnchor>
  <xdr:twoCellAnchor>
    <xdr:from>
      <xdr:col>1</xdr:col>
      <xdr:colOff>245208</xdr:colOff>
      <xdr:row>26</xdr:row>
      <xdr:rowOff>629325</xdr:rowOff>
    </xdr:from>
    <xdr:to>
      <xdr:col>4</xdr:col>
      <xdr:colOff>57585</xdr:colOff>
      <xdr:row>26</xdr:row>
      <xdr:rowOff>1749900</xdr:rowOff>
    </xdr:to>
    <xdr:grpSp>
      <xdr:nvGrpSpPr>
        <xdr:cNvPr id="47" name="Gruppe 4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08719C3-2D8D-4696-9BE0-361C528BB25F}"/>
            </a:ext>
          </a:extLst>
        </xdr:cNvPr>
        <xdr:cNvGrpSpPr>
          <a:grpSpLocks/>
        </xdr:cNvGrpSpPr>
      </xdr:nvGrpSpPr>
      <xdr:grpSpPr>
        <a:xfrm>
          <a:off x="1254858" y="6934875"/>
          <a:ext cx="10528002" cy="1120575"/>
          <a:chOff x="1606206" y="6422448"/>
          <a:chExt cx="8699664" cy="1129342"/>
        </a:xfrm>
      </xdr:grpSpPr>
      <xdr:sp macro="" textlink="">
        <xdr:nvSpPr>
          <xdr:cNvPr id="48" name="Ellipse 47">
            <a:extLst>
              <a:ext uri="{FF2B5EF4-FFF2-40B4-BE49-F238E27FC236}">
                <a16:creationId xmlns:a16="http://schemas.microsoft.com/office/drawing/2014/main" id="{2087A41F-00FF-773B-7958-18BA946B8CCE}"/>
              </a:ext>
            </a:extLst>
          </xdr:cNvPr>
          <xdr:cNvSpPr>
            <a:spLocks noChangeAspect="1"/>
          </xdr:cNvSpPr>
        </xdr:nvSpPr>
        <xdr:spPr>
          <a:xfrm>
            <a:off x="1606206" y="6574991"/>
            <a:ext cx="462199" cy="50794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49" name="Gruppe 48">
            <a:extLst>
              <a:ext uri="{FF2B5EF4-FFF2-40B4-BE49-F238E27FC236}">
                <a16:creationId xmlns:a16="http://schemas.microsoft.com/office/drawing/2014/main" id="{8C112474-D10D-9251-D9EE-A564F6233D3D}"/>
              </a:ext>
            </a:extLst>
          </xdr:cNvPr>
          <xdr:cNvGrpSpPr>
            <a:grpSpLocks/>
          </xdr:cNvGrpSpPr>
        </xdr:nvGrpSpPr>
        <xdr:grpSpPr>
          <a:xfrm>
            <a:off x="2007778" y="6422448"/>
            <a:ext cx="7337197" cy="1129342"/>
            <a:chOff x="11089618" y="7227355"/>
            <a:chExt cx="7341023" cy="1128192"/>
          </a:xfrm>
        </xdr:grpSpPr>
        <xdr:sp macro="" textlink="">
          <xdr:nvSpPr>
            <xdr:cNvPr id="51" name="Avrundet rektangel 82">
              <a:extLst>
                <a:ext uri="{FF2B5EF4-FFF2-40B4-BE49-F238E27FC236}">
                  <a16:creationId xmlns:a16="http://schemas.microsoft.com/office/drawing/2014/main" id="{9E7210EA-BC56-26F9-67E1-B62D527582EA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Näe valitsemiesi toimenpiteiden vaikutus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52" name="Avrundet rektangel 83">
              <a:extLst>
                <a:ext uri="{FF2B5EF4-FFF2-40B4-BE49-F238E27FC236}">
                  <a16:creationId xmlns:a16="http://schemas.microsoft.com/office/drawing/2014/main" id="{7D63CFAC-E197-9C34-3925-CE42F22BE0CF}"/>
                </a:ext>
              </a:extLst>
            </xdr:cNvPr>
            <xdr:cNvSpPr/>
          </xdr:nvSpPr>
          <xdr:spPr>
            <a:xfrm>
              <a:off x="11115930" y="7657806"/>
              <a:ext cx="73147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Saat yksityiskohtaisen yleiskuvan ilmastojalanjäljestä ja hankintakustannuksista.  </a:t>
              </a:r>
              <a:endParaRPr lang="nb-NO" sz="2000" b="0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</xdr:grpSp>
      <xdr:pic>
        <xdr:nvPicPr>
          <xdr:cNvPr id="50" name="Grafikk 49">
            <a:extLst>
              <a:ext uri="{FF2B5EF4-FFF2-40B4-BE49-F238E27FC236}">
                <a16:creationId xmlns:a16="http://schemas.microsoft.com/office/drawing/2014/main" id="{706D1C83-FA84-328D-C6E4-D68A3DC529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120025" y="6783849"/>
            <a:ext cx="185845" cy="3933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416776</xdr:colOff>
      <xdr:row>26</xdr:row>
      <xdr:rowOff>50584</xdr:rowOff>
    </xdr:from>
    <xdr:to>
      <xdr:col>1</xdr:col>
      <xdr:colOff>534823</xdr:colOff>
      <xdr:row>26</xdr:row>
      <xdr:rowOff>484280</xdr:rowOff>
    </xdr:to>
    <xdr:grpSp>
      <xdr:nvGrpSpPr>
        <xdr:cNvPr id="53" name="Gruppe 84">
          <a:extLst>
            <a:ext uri="{FF2B5EF4-FFF2-40B4-BE49-F238E27FC236}">
              <a16:creationId xmlns:a16="http://schemas.microsoft.com/office/drawing/2014/main" id="{CA25915F-5A74-4C9F-960A-5227109A1D4D}"/>
            </a:ext>
          </a:extLst>
        </xdr:cNvPr>
        <xdr:cNvGrpSpPr>
          <a:grpSpLocks/>
        </xdr:cNvGrpSpPr>
      </xdr:nvGrpSpPr>
      <xdr:grpSpPr>
        <a:xfrm>
          <a:off x="1426426" y="6356134"/>
          <a:ext cx="118047" cy="43369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54" name="Ellipse 85">
            <a:extLst>
              <a:ext uri="{FF2B5EF4-FFF2-40B4-BE49-F238E27FC236}">
                <a16:creationId xmlns:a16="http://schemas.microsoft.com/office/drawing/2014/main" id="{999D502B-373A-FCCA-8554-1C6CEF3C7380}"/>
              </a:ext>
            </a:extLst>
          </xdr:cNvPr>
          <xdr:cNvSpPr/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5" name="Ellipse 86">
            <a:extLst>
              <a:ext uri="{FF2B5EF4-FFF2-40B4-BE49-F238E27FC236}">
                <a16:creationId xmlns:a16="http://schemas.microsoft.com/office/drawing/2014/main" id="{CDDE79FC-939A-A28D-CD27-6A4F1BE76D40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6" name="Ellipse 87">
            <a:extLst>
              <a:ext uri="{FF2B5EF4-FFF2-40B4-BE49-F238E27FC236}">
                <a16:creationId xmlns:a16="http://schemas.microsoft.com/office/drawing/2014/main" id="{27B801CF-54C2-97B2-9778-2580F858E8C1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0</xdr:col>
      <xdr:colOff>1047837</xdr:colOff>
      <xdr:row>31</xdr:row>
      <xdr:rowOff>55588</xdr:rowOff>
    </xdr:from>
    <xdr:to>
      <xdr:col>4</xdr:col>
      <xdr:colOff>1915671</xdr:colOff>
      <xdr:row>34</xdr:row>
      <xdr:rowOff>493427</xdr:rowOff>
    </xdr:to>
    <xdr:sp macro="" textlink="" fLocksText="0">
      <xdr:nvSpPr>
        <xdr:cNvPr id="57" name="Avrundet rektangel 7">
          <a:extLst>
            <a:ext uri="{FF2B5EF4-FFF2-40B4-BE49-F238E27FC236}">
              <a16:creationId xmlns:a16="http://schemas.microsoft.com/office/drawing/2014/main" id="{6822B631-F2FF-4177-9D1A-44EC1BCE296E}"/>
            </a:ext>
          </a:extLst>
        </xdr:cNvPr>
        <xdr:cNvSpPr/>
      </xdr:nvSpPr>
      <xdr:spPr>
        <a:xfrm>
          <a:off x="1009650" y="11639550"/>
          <a:ext cx="11325225" cy="1581150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Täytä pääluokan hankintatarpeet ja lisätiedot alakategoriaan, jos sinulla on nämä.</a:t>
          </a:r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 </a:t>
          </a:r>
        </a:p>
        <a:p>
          <a:pPr>
            <a:def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defRPr>
          </a:pPr>
          <a:r>
            <a:rPr lang="nb-NO" sz="2000" b="1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Jos ei, voit käyttää keskiarvoja</a:t>
          </a:r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. Täytä määrä, jota aiot ostaa kutakin tuotetta. Valitse lopuksi toimenpide alla olevasta luettelosta.</a:t>
          </a:r>
        </a:p>
        <a:p>
          <a:pPr>
            <a:defRPr lang="nb-NO" sz="2000" b="0" dirty="0" err="1">
              <a:solidFill>
                <a:schemeClr val="accent6">
                  <a:lumMod val="50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0</xdr:col>
      <xdr:colOff>846667</xdr:colOff>
      <xdr:row>32</xdr:row>
      <xdr:rowOff>198422</xdr:rowOff>
    </xdr:from>
    <xdr:to>
      <xdr:col>3</xdr:col>
      <xdr:colOff>1972734</xdr:colOff>
      <xdr:row>34</xdr:row>
      <xdr:rowOff>57875</xdr:rowOff>
    </xdr:to>
    <xdr:sp macro="" textlink="">
      <xdr:nvSpPr>
        <xdr:cNvPr id="58" name="Avrundet rektangel 11">
          <a:extLst>
            <a:ext uri="{FF2B5EF4-FFF2-40B4-BE49-F238E27FC236}">
              <a16:creationId xmlns:a16="http://schemas.microsoft.com/office/drawing/2014/main" id="{2C38AD69-1549-4AFF-B66B-9C93FBFB6049}"/>
            </a:ext>
          </a:extLst>
        </xdr:cNvPr>
        <xdr:cNvSpPr/>
      </xdr:nvSpPr>
      <xdr:spPr>
        <a:xfrm>
          <a:off x="847725" y="12163425"/>
          <a:ext cx="8810625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endParaRPr lang="nb-NO" sz="16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286363</xdr:colOff>
      <xdr:row>34</xdr:row>
      <xdr:rowOff>529792</xdr:rowOff>
    </xdr:from>
    <xdr:to>
      <xdr:col>5</xdr:col>
      <xdr:colOff>673893</xdr:colOff>
      <xdr:row>34</xdr:row>
      <xdr:rowOff>1341407</xdr:rowOff>
    </xdr:to>
    <xdr:sp macro="" textlink="">
      <xdr:nvSpPr>
        <xdr:cNvPr id="59" name="Avrundet rektangel 30">
          <a:extLst>
            <a:ext uri="{FF2B5EF4-FFF2-40B4-BE49-F238E27FC236}">
              <a16:creationId xmlns:a16="http://schemas.microsoft.com/office/drawing/2014/main" id="{2FDF5F75-366D-4E6D-A950-81EBEC300793}"/>
            </a:ext>
          </a:extLst>
        </xdr:cNvPr>
        <xdr:cNvSpPr/>
      </xdr:nvSpPr>
      <xdr:spPr>
        <a:xfrm>
          <a:off x="1295400" y="13258800"/>
          <a:ext cx="13839825" cy="80962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Keltaiset kentät on täytettävä Hinta voidaan täyttää, jos tietoja on saatavilla, muuten se arvioidaan automaattisesti.</a:t>
          </a:r>
          <a:r>
            <a:rPr lang="nb-NO" sz="2000" b="0" dirty="0" err="1">
              <a:solidFill>
                <a:srgbClr val="002D48"/>
              </a:solidFill>
            </a:rPr>
            <a:t> </a:t>
          </a:r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 </a:t>
          </a:r>
        </a:p>
        <a:p>
          <a:pPr>
            <a:defRPr lang="nb-NO" sz="2000" b="0" dirty="0" err="1">
              <a:solidFill>
                <a:srgbClr val="002D48"/>
              </a:solidFill>
            </a:defRPr>
          </a:pPr>
          <a:endParaRPr/>
        </a:p>
      </xdr:txBody>
    </xdr:sp>
    <xdr:clientData/>
  </xdr:twoCellAnchor>
  <xdr:twoCellAnchor editAs="oneCell">
    <xdr:from>
      <xdr:col>1</xdr:col>
      <xdr:colOff>54090</xdr:colOff>
      <xdr:row>34</xdr:row>
      <xdr:rowOff>584193</xdr:rowOff>
    </xdr:from>
    <xdr:to>
      <xdr:col>1</xdr:col>
      <xdr:colOff>322702</xdr:colOff>
      <xdr:row>34</xdr:row>
      <xdr:rowOff>855980</xdr:rowOff>
    </xdr:to>
    <xdr:pic>
      <xdr:nvPicPr>
        <xdr:cNvPr id="60" name="Grafikk 59">
          <a:extLst>
            <a:ext uri="{FF2B5EF4-FFF2-40B4-BE49-F238E27FC236}">
              <a16:creationId xmlns:a16="http://schemas.microsoft.com/office/drawing/2014/main" id="{1E2CE125-872C-468C-90DD-34B7CEF1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66800" y="13306425"/>
          <a:ext cx="266700" cy="276225"/>
        </a:xfrm>
        <a:prstGeom prst="rect">
          <a:avLst/>
        </a:prstGeom>
      </xdr:spPr>
    </xdr:pic>
    <xdr:clientData/>
  </xdr:twoCellAnchor>
  <xdr:twoCellAnchor editAs="oneCell">
    <xdr:from>
      <xdr:col>2</xdr:col>
      <xdr:colOff>258977</xdr:colOff>
      <xdr:row>108</xdr:row>
      <xdr:rowOff>122316</xdr:rowOff>
    </xdr:from>
    <xdr:to>
      <xdr:col>2</xdr:col>
      <xdr:colOff>897152</xdr:colOff>
      <xdr:row>109</xdr:row>
      <xdr:rowOff>134018</xdr:rowOff>
    </xdr:to>
    <xdr:pic>
      <xdr:nvPicPr>
        <xdr:cNvPr id="61" name="Grafikk 60">
          <a:extLst>
            <a:ext uri="{FF2B5EF4-FFF2-40B4-BE49-F238E27FC236}">
              <a16:creationId xmlns:a16="http://schemas.microsoft.com/office/drawing/2014/main" id="{4E8894A9-E7AD-417C-987F-30002C83A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 rot="9962774">
          <a:off x="5210175" y="41729025"/>
          <a:ext cx="638175" cy="200025"/>
        </a:xfrm>
        <a:prstGeom prst="rect">
          <a:avLst/>
        </a:prstGeom>
      </xdr:spPr>
    </xdr:pic>
    <xdr:clientData/>
  </xdr:twoCellAnchor>
  <xdr:twoCellAnchor>
    <xdr:from>
      <xdr:col>2</xdr:col>
      <xdr:colOff>1352289</xdr:colOff>
      <xdr:row>106</xdr:row>
      <xdr:rowOff>146242</xdr:rowOff>
    </xdr:from>
    <xdr:to>
      <xdr:col>4</xdr:col>
      <xdr:colOff>1839729</xdr:colOff>
      <xdr:row>108</xdr:row>
      <xdr:rowOff>47621</xdr:rowOff>
    </xdr:to>
    <xdr:sp macro="" textlink="">
      <xdr:nvSpPr>
        <xdr:cNvPr id="62" name="Avrundet rektangel 30">
          <a:extLst>
            <a:ext uri="{FF2B5EF4-FFF2-40B4-BE49-F238E27FC236}">
              <a16:creationId xmlns:a16="http://schemas.microsoft.com/office/drawing/2014/main" id="{2F703616-D14E-478A-93D7-60DE9BCFABD2}"/>
            </a:ext>
          </a:extLst>
        </xdr:cNvPr>
        <xdr:cNvSpPr/>
      </xdr:nvSpPr>
      <xdr:spPr>
        <a:xfrm>
          <a:off x="6305550" y="41128950"/>
          <a:ext cx="5953125" cy="52387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Valitse pudotusvalikosta, minkä tuloksen haluat nähdä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1095871</xdr:colOff>
      <xdr:row>107</xdr:row>
      <xdr:rowOff>61908</xdr:rowOff>
    </xdr:from>
    <xdr:to>
      <xdr:col>2</xdr:col>
      <xdr:colOff>1429462</xdr:colOff>
      <xdr:row>107</xdr:row>
      <xdr:rowOff>401849</xdr:rowOff>
    </xdr:to>
    <xdr:pic>
      <xdr:nvPicPr>
        <xdr:cNvPr id="63" name="Grafikk 62">
          <a:extLst>
            <a:ext uri="{FF2B5EF4-FFF2-40B4-BE49-F238E27FC236}">
              <a16:creationId xmlns:a16="http://schemas.microsoft.com/office/drawing/2014/main" id="{4209DE35-6823-44AF-914F-DAA67746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048375" y="41233725"/>
          <a:ext cx="333375" cy="342900"/>
        </a:xfrm>
        <a:prstGeom prst="rect">
          <a:avLst/>
        </a:prstGeom>
      </xdr:spPr>
    </xdr:pic>
    <xdr:clientData/>
  </xdr:twoCellAnchor>
  <xdr:twoCellAnchor>
    <xdr:from>
      <xdr:col>0</xdr:col>
      <xdr:colOff>1193800</xdr:colOff>
      <xdr:row>141</xdr:row>
      <xdr:rowOff>2224314</xdr:rowOff>
    </xdr:from>
    <xdr:to>
      <xdr:col>5</xdr:col>
      <xdr:colOff>270750</xdr:colOff>
      <xdr:row>141</xdr:row>
      <xdr:rowOff>2977943</xdr:rowOff>
    </xdr:to>
    <xdr:sp macro="" textlink="">
      <xdr:nvSpPr>
        <xdr:cNvPr id="73" name="TekstSylinder 27">
          <a:extLst>
            <a:ext uri="{FF2B5EF4-FFF2-40B4-BE49-F238E27FC236}">
              <a16:creationId xmlns:a16="http://schemas.microsoft.com/office/drawing/2014/main" id="{AE55140A-1572-47F0-86D8-22E8D9A1E116}"/>
            </a:ext>
          </a:extLst>
        </xdr:cNvPr>
        <xdr:cNvSpPr txBox="1"/>
      </xdr:nvSpPr>
      <xdr:spPr>
        <a:xfrm>
          <a:off x="1009650" y="50120550"/>
          <a:ext cx="1371600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Yksityiskohtaiset tulokset</a:t>
          </a:r>
        </a:p>
      </xdr:txBody>
    </xdr:sp>
    <xdr:clientData/>
  </xdr:twoCellAnchor>
  <xdr:twoCellAnchor>
    <xdr:from>
      <xdr:col>0</xdr:col>
      <xdr:colOff>1193800</xdr:colOff>
      <xdr:row>141</xdr:row>
      <xdr:rowOff>2859315</xdr:rowOff>
    </xdr:from>
    <xdr:to>
      <xdr:col>6</xdr:col>
      <xdr:colOff>2690861</xdr:colOff>
      <xdr:row>143</xdr:row>
      <xdr:rowOff>350872</xdr:rowOff>
    </xdr:to>
    <xdr:sp macro="" textlink="">
      <xdr:nvSpPr>
        <xdr:cNvPr id="74" name="TekstSylinder 54">
          <a:extLst>
            <a:ext uri="{FF2B5EF4-FFF2-40B4-BE49-F238E27FC236}">
              <a16:creationId xmlns:a16="http://schemas.microsoft.com/office/drawing/2014/main" id="{5545B1E6-537D-41E6-A746-0988566B7555}"/>
            </a:ext>
          </a:extLst>
        </xdr:cNvPr>
        <xdr:cNvSpPr txBox="1"/>
      </xdr:nvSpPr>
      <xdr:spPr>
        <a:xfrm>
          <a:off x="1009650" y="50749200"/>
          <a:ext cx="199548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Haluatko esittää tuloksen itse? Kopioi alla oleva taulukko ja käytä tuloksia haluamassasi paikassa.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21411</xdr:colOff>
      <xdr:row>29</xdr:row>
      <xdr:rowOff>667850</xdr:rowOff>
    </xdr:from>
    <xdr:to>
      <xdr:col>1</xdr:col>
      <xdr:colOff>591651</xdr:colOff>
      <xdr:row>30</xdr:row>
      <xdr:rowOff>272262</xdr:rowOff>
    </xdr:to>
    <xdr:sp macro="" textlink="">
      <xdr:nvSpPr>
        <xdr:cNvPr id="96" name="Ellipse 29">
          <a:extLst>
            <a:ext uri="{FF2B5EF4-FFF2-40B4-BE49-F238E27FC236}">
              <a16:creationId xmlns:a16="http://schemas.microsoft.com/office/drawing/2014/main" id="{95353A33-3D3C-40EA-92C2-A60C5C8314C7}"/>
            </a:ext>
          </a:extLst>
        </xdr:cNvPr>
        <xdr:cNvSpPr>
          <a:spLocks noChangeAspect="1"/>
        </xdr:cNvSpPr>
      </xdr:nvSpPr>
      <xdr:spPr>
        <a:xfrm>
          <a:off x="1028700" y="10906125"/>
          <a:ext cx="571500" cy="561975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15869</xdr:colOff>
      <xdr:row>58</xdr:row>
      <xdr:rowOff>150585</xdr:rowOff>
    </xdr:from>
    <xdr:to>
      <xdr:col>1</xdr:col>
      <xdr:colOff>591869</xdr:colOff>
      <xdr:row>59</xdr:row>
      <xdr:rowOff>72258</xdr:rowOff>
    </xdr:to>
    <xdr:sp macro="" textlink="">
      <xdr:nvSpPr>
        <xdr:cNvPr id="97" name="Ellipse 29">
          <a:extLst>
            <a:ext uri="{FF2B5EF4-FFF2-40B4-BE49-F238E27FC236}">
              <a16:creationId xmlns:a16="http://schemas.microsoft.com/office/drawing/2014/main" id="{2B996307-F219-4D18-82A4-ED2DC2381A58}"/>
            </a:ext>
          </a:extLst>
        </xdr:cNvPr>
        <xdr:cNvSpPr/>
      </xdr:nvSpPr>
      <xdr:spPr>
        <a:xfrm>
          <a:off x="1028700" y="29603700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5</xdr:col>
      <xdr:colOff>2908839</xdr:colOff>
      <xdr:row>29</xdr:row>
      <xdr:rowOff>440375</xdr:rowOff>
    </xdr:from>
    <xdr:to>
      <xdr:col>7</xdr:col>
      <xdr:colOff>211359</xdr:colOff>
      <xdr:row>34</xdr:row>
      <xdr:rowOff>1070268</xdr:rowOff>
    </xdr:to>
    <xdr:pic>
      <xdr:nvPicPr>
        <xdr:cNvPr id="98" name="Grafikk 97">
          <a:extLst>
            <a:ext uri="{FF2B5EF4-FFF2-40B4-BE49-F238E27FC236}">
              <a16:creationId xmlns:a16="http://schemas.microsoft.com/office/drawing/2014/main" id="{2E45E96E-6D15-43B6-AAA2-CB10D854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7364075" y="10677525"/>
          <a:ext cx="3962400" cy="3114675"/>
        </a:xfrm>
        <a:prstGeom prst="rect">
          <a:avLst/>
        </a:prstGeom>
      </xdr:spPr>
    </xdr:pic>
    <xdr:clientData/>
  </xdr:twoCellAnchor>
  <xdr:twoCellAnchor editAs="oneCell">
    <xdr:from>
      <xdr:col>5</xdr:col>
      <xdr:colOff>1777957</xdr:colOff>
      <xdr:row>34</xdr:row>
      <xdr:rowOff>430314</xdr:rowOff>
    </xdr:from>
    <xdr:to>
      <xdr:col>5</xdr:col>
      <xdr:colOff>2002314</xdr:colOff>
      <xdr:row>34</xdr:row>
      <xdr:rowOff>1275232</xdr:rowOff>
    </xdr:to>
    <xdr:pic>
      <xdr:nvPicPr>
        <xdr:cNvPr id="103" name="Grafikk 22">
          <a:extLst>
            <a:ext uri="{FF2B5EF4-FFF2-40B4-BE49-F238E27FC236}">
              <a16:creationId xmlns:a16="http://schemas.microsoft.com/office/drawing/2014/main" id="{D0217A54-48B5-494D-AC5B-1D45636B1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 rot="3062629">
          <a:off x="16240125" y="13154025"/>
          <a:ext cx="228600" cy="847725"/>
        </a:xfrm>
        <a:prstGeom prst="rect">
          <a:avLst/>
        </a:prstGeom>
      </xdr:spPr>
    </xdr:pic>
    <xdr:clientData/>
  </xdr:twoCellAnchor>
  <xdr:twoCellAnchor>
    <xdr:from>
      <xdr:col>4</xdr:col>
      <xdr:colOff>3844291</xdr:colOff>
      <xdr:row>34</xdr:row>
      <xdr:rowOff>345118</xdr:rowOff>
    </xdr:from>
    <xdr:to>
      <xdr:col>5</xdr:col>
      <xdr:colOff>1660325</xdr:colOff>
      <xdr:row>34</xdr:row>
      <xdr:rowOff>858407</xdr:rowOff>
    </xdr:to>
    <xdr:sp macro="" textlink="">
      <xdr:nvSpPr>
        <xdr:cNvPr id="104" name="Avrundet rektangel 30">
          <a:extLst>
            <a:ext uri="{FF2B5EF4-FFF2-40B4-BE49-F238E27FC236}">
              <a16:creationId xmlns:a16="http://schemas.microsoft.com/office/drawing/2014/main" id="{BF79673D-2B1D-48EE-8A02-66F118ED52C5}"/>
            </a:ext>
          </a:extLst>
        </xdr:cNvPr>
        <xdr:cNvSpPr/>
      </xdr:nvSpPr>
      <xdr:spPr>
        <a:xfrm>
          <a:off x="14268450" y="13068300"/>
          <a:ext cx="1857375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Vieritä nähdäksesi tuloksesi</a:t>
          </a:r>
        </a:p>
      </xdr:txBody>
    </xdr:sp>
    <xdr:clientData/>
  </xdr:twoCellAnchor>
  <xdr:twoCellAnchor>
    <xdr:from>
      <xdr:col>4</xdr:col>
      <xdr:colOff>1126985</xdr:colOff>
      <xdr:row>21</xdr:row>
      <xdr:rowOff>167745</xdr:rowOff>
    </xdr:from>
    <xdr:to>
      <xdr:col>6</xdr:col>
      <xdr:colOff>2915284</xdr:colOff>
      <xdr:row>26</xdr:row>
      <xdr:rowOff>2345615</xdr:rowOff>
    </xdr:to>
    <xdr:grpSp>
      <xdr:nvGrpSpPr>
        <xdr:cNvPr id="105" name="Gruppe 104">
          <a:extLst>
            <a:ext uri="{FF2B5EF4-FFF2-40B4-BE49-F238E27FC236}">
              <a16:creationId xmlns:a16="http://schemas.microsoft.com/office/drawing/2014/main" id="{C4F657A2-90BB-4910-9850-4A2C2C72E3C1}"/>
            </a:ext>
          </a:extLst>
        </xdr:cNvPr>
        <xdr:cNvGrpSpPr>
          <a:grpSpLocks/>
        </xdr:cNvGrpSpPr>
      </xdr:nvGrpSpPr>
      <xdr:grpSpPr>
        <a:xfrm>
          <a:off x="12852260" y="5396970"/>
          <a:ext cx="10017899" cy="3254195"/>
          <a:chOff x="1117379" y="12791321"/>
          <a:chExt cx="8408472" cy="3245555"/>
        </a:xfrm>
      </xdr:grpSpPr>
      <xdr:sp macro="" textlink="" fLocksText="0">
        <xdr:nvSpPr>
          <xdr:cNvPr id="106" name="Avrundet rektangel 40">
            <a:extLst>
              <a:ext uri="{FF2B5EF4-FFF2-40B4-BE49-F238E27FC236}">
                <a16:creationId xmlns:a16="http://schemas.microsoft.com/office/drawing/2014/main" id="{48A3C551-F9D6-4532-FEB6-E35599E63513}"/>
              </a:ext>
            </a:extLst>
          </xdr:cNvPr>
          <xdr:cNvSpPr/>
        </xdr:nvSpPr>
        <xdr:spPr>
          <a:xfrm>
            <a:off x="1117379" y="12791321"/>
            <a:ext cx="8408472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tiedoista, joihin se perustuu?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Katso tämän työkalun tietojen yleiskatsaus tai lataa vastaava opas DFØ:n sivuilta.</a:t>
            </a:r>
            <a:r>
              <a: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107" name="Grafikk 303">
            <a:extLst>
              <a:ext uri="{FF2B5EF4-FFF2-40B4-BE49-F238E27FC236}">
                <a16:creationId xmlns:a16="http://schemas.microsoft.com/office/drawing/2014/main" id="{8DF282E7-624D-9079-B5E0-25D584079A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1459490" y="13100114"/>
            <a:ext cx="307141" cy="358999"/>
          </a:xfrm>
          <a:prstGeom prst="rect">
            <a:avLst/>
          </a:prstGeom>
        </xdr:spPr>
      </xdr:pic>
      <xdr:grpSp>
        <xdr:nvGrpSpPr>
          <xdr:cNvPr id="108" name="Gruppe 579">
            <a:extLst>
              <a:ext uri="{FF2B5EF4-FFF2-40B4-BE49-F238E27FC236}">
                <a16:creationId xmlns:a16="http://schemas.microsoft.com/office/drawing/2014/main" id="{AEA1D4C2-FAB0-3C38-1B36-E40C793EB64A}"/>
              </a:ext>
            </a:extLst>
          </xdr:cNvPr>
          <xdr:cNvGrpSpPr>
            <a:grpSpLocks/>
          </xdr:cNvGrpSpPr>
        </xdr:nvGrpSpPr>
        <xdr:grpSpPr>
          <a:xfrm>
            <a:off x="6331456" y="14478043"/>
            <a:ext cx="2658231" cy="1021527"/>
            <a:chOff x="6247165" y="13235433"/>
            <a:chExt cx="2631462" cy="988613"/>
          </a:xfrm>
        </xdr:grpSpPr>
        <xdr:sp macro="" textlink="">
          <xdr:nvSpPr>
            <xdr:cNvPr id="109" name="Avrundet rektangel 40">
              <a:hlinkClick xmlns:r="http://schemas.openxmlformats.org/officeDocument/2006/relationships" r:id="rId17"/>
              <a:extLst>
                <a:ext uri="{FF2B5EF4-FFF2-40B4-BE49-F238E27FC236}">
                  <a16:creationId xmlns:a16="http://schemas.microsoft.com/office/drawing/2014/main" id="{4FF3DEA3-99FA-04C2-A311-0CD52C65A98B}"/>
                </a:ext>
              </a:extLst>
            </xdr:cNvPr>
            <xdr:cNvSpPr/>
          </xdr:nvSpPr>
          <xdr:spPr>
            <a:xfrm>
              <a:off x="6251541" y="13786032"/>
              <a:ext cx="2608265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grpSp>
          <xdr:nvGrpSpPr>
            <xdr:cNvPr id="110" name="Gruppe 305">
              <a:extLst>
                <a:ext uri="{FF2B5EF4-FFF2-40B4-BE49-F238E27FC236}">
                  <a16:creationId xmlns:a16="http://schemas.microsoft.com/office/drawing/2014/main" id="{63DC6E95-8EF5-3E2B-F1ED-EEE857421A03}"/>
                </a:ext>
              </a:extLst>
            </xdr:cNvPr>
            <xdr:cNvGrpSpPr>
              <a:grpSpLocks/>
            </xdr:cNvGrpSpPr>
          </xdr:nvGrpSpPr>
          <xdr:grpSpPr>
            <a:xfrm>
              <a:off x="6247165" y="13235433"/>
              <a:ext cx="2631462" cy="438014"/>
              <a:chOff x="18983593" y="6766285"/>
              <a:chExt cx="2250094" cy="508000"/>
            </a:xfrm>
          </xdr:grpSpPr>
          <xdr:sp macro="" textlink="">
            <xdr:nvSpPr>
              <xdr:cNvPr id="112" name="Avrundet rektangel 40">
                <a:hlinkClick xmlns:r="http://schemas.openxmlformats.org/officeDocument/2006/relationships" r:id="rId18"/>
                <a:extLst>
                  <a:ext uri="{FF2B5EF4-FFF2-40B4-BE49-F238E27FC236}">
                    <a16:creationId xmlns:a16="http://schemas.microsoft.com/office/drawing/2014/main" id="{9282ED46-C35E-9AEA-A403-598ED90ED44E}"/>
                  </a:ext>
                </a:extLst>
              </xdr:cNvPr>
              <xdr:cNvSpPr/>
            </xdr:nvSpPr>
            <xdr:spPr>
              <a:xfrm>
                <a:off x="18983593" y="6766285"/>
                <a:ext cx="2250094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Tietojen perusta</a:t>
                </a:r>
              </a:p>
            </xdr:txBody>
          </xdr:sp>
          <xdr:pic>
            <xdr:nvPicPr>
              <xdr:cNvPr id="113" name="Grafikk 25">
                <a:extLst>
                  <a:ext uri="{FF2B5EF4-FFF2-40B4-BE49-F238E27FC236}">
                    <a16:creationId xmlns:a16="http://schemas.microsoft.com/office/drawing/2014/main" id="{712BF77E-D853-CD96-46FF-B8AE1E4A2C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9">
                <a:extLst>
                  <a:ext uri="{96DAC541-7B7A-43D3-8B79-37D633B846F1}">
                    <asvg:svgBlip xmlns:asvg="http://schemas.microsoft.com/office/drawing/2016/SVG/main" r:embed="rId20"/>
                  </a:ext>
                </a:extLst>
              </a:blip>
              <a:stretch>
                <a:fillRect/>
              </a:stretch>
            </xdr:blipFill>
            <xdr:spPr>
              <a:xfrm>
                <a:off x="20949394" y="6849207"/>
                <a:ext cx="136517" cy="355337"/>
              </a:xfrm>
              <a:prstGeom prst="rect">
                <a:avLst/>
              </a:prstGeom>
            </xdr:spPr>
          </xdr:pic>
        </xdr:grpSp>
        <xdr:pic>
          <xdr:nvPicPr>
            <xdr:cNvPr id="111" name="Grafikk 25">
              <a:extLst>
                <a:ext uri="{FF2B5EF4-FFF2-40B4-BE49-F238E27FC236}">
                  <a16:creationId xmlns:a16="http://schemas.microsoft.com/office/drawing/2014/main" id="{9D0D1A06-2729-F4B0-E086-B5876FC3DF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>
              <a:extLst>
                <a:ext uri="{96DAC541-7B7A-43D3-8B79-37D633B846F1}">
                  <asvg:svgBlip xmlns:asvg="http://schemas.microsoft.com/office/drawing/2016/SVG/main" r:embed="rId22"/>
                </a:ext>
              </a:extLst>
            </a:blip>
            <a:stretch>
              <a:fillRect/>
            </a:stretch>
          </xdr:blipFill>
          <xdr:spPr>
            <a:xfrm>
              <a:off x="8573760" y="13867867"/>
              <a:ext cx="159655" cy="306383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1034415</xdr:colOff>
      <xdr:row>53</xdr:row>
      <xdr:rowOff>76200</xdr:rowOff>
    </xdr:from>
    <xdr:to>
      <xdr:col>8</xdr:col>
      <xdr:colOff>774214</xdr:colOff>
      <xdr:row>54</xdr:row>
      <xdr:rowOff>4968875</xdr:rowOff>
    </xdr:to>
    <xdr:grpSp>
      <xdr:nvGrpSpPr>
        <xdr:cNvPr id="114" name="Gruppe 113">
          <a:extLst>
            <a:ext uri="{FF2B5EF4-FFF2-40B4-BE49-F238E27FC236}">
              <a16:creationId xmlns:a16="http://schemas.microsoft.com/office/drawing/2014/main" id="{A4E8A116-5928-42DC-B65B-73571A2F1CE4}"/>
            </a:ext>
          </a:extLst>
        </xdr:cNvPr>
        <xdr:cNvGrpSpPr>
          <a:grpSpLocks/>
        </xdr:cNvGrpSpPr>
      </xdr:nvGrpSpPr>
      <xdr:grpSpPr>
        <a:xfrm>
          <a:off x="1005840" y="21650325"/>
          <a:ext cx="25895449" cy="6188075"/>
          <a:chOff x="840104" y="11125200"/>
          <a:chExt cx="21532999" cy="6188075"/>
        </a:xfrm>
      </xdr:grpSpPr>
      <xdr:grpSp>
        <xdr:nvGrpSpPr>
          <xdr:cNvPr id="115" name="Gruppe 114">
            <a:extLst>
              <a:ext uri="{FF2B5EF4-FFF2-40B4-BE49-F238E27FC236}">
                <a16:creationId xmlns:a16="http://schemas.microsoft.com/office/drawing/2014/main" id="{C9CFB670-450D-DDD5-893E-C7E87E5D8038}"/>
              </a:ext>
            </a:extLst>
          </xdr:cNvPr>
          <xdr:cNvGrpSpPr>
            <a:grpSpLocks/>
          </xdr:cNvGrpSpPr>
        </xdr:nvGrpSpPr>
        <xdr:grpSpPr>
          <a:xfrm>
            <a:off x="840104" y="11125200"/>
            <a:ext cx="21532999" cy="6188075"/>
            <a:chOff x="715009" y="10995712"/>
            <a:chExt cx="21569193" cy="4966402"/>
          </a:xfrm>
        </xdr:grpSpPr>
        <xdr:grpSp>
          <xdr:nvGrpSpPr>
            <xdr:cNvPr id="117" name="Gruppe 39">
              <a:extLst>
                <a:ext uri="{FF2B5EF4-FFF2-40B4-BE49-F238E27FC236}">
                  <a16:creationId xmlns:a16="http://schemas.microsoft.com/office/drawing/2014/main" id="{0CC6AB8B-AD64-59D0-85FC-70EFF7DD1712}"/>
                </a:ext>
              </a:extLst>
            </xdr:cNvPr>
            <xdr:cNvGrpSpPr>
              <a:grpSpLocks/>
            </xdr:cNvGrpSpPr>
          </xdr:nvGrpSpPr>
          <xdr:grpSpPr>
            <a:xfrm>
              <a:off x="715009" y="10995712"/>
              <a:ext cx="21569193" cy="4966402"/>
              <a:chOff x="4738599" y="7890934"/>
              <a:chExt cx="20987615" cy="4664992"/>
            </a:xfrm>
          </xdr:grpSpPr>
          <xdr:grpSp>
            <xdr:nvGrpSpPr>
              <xdr:cNvPr id="122" name="Gruppe 38">
                <a:extLst>
                  <a:ext uri="{FF2B5EF4-FFF2-40B4-BE49-F238E27FC236}">
                    <a16:creationId xmlns:a16="http://schemas.microsoft.com/office/drawing/2014/main" id="{87C5879F-95EB-2BE1-5BB6-DFBD03BFC6C7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38599" y="7890934"/>
                <a:ext cx="20987615" cy="4664992"/>
                <a:chOff x="708466" y="7653867"/>
                <a:chExt cx="20987615" cy="4664992"/>
              </a:xfrm>
            </xdr:grpSpPr>
            <xdr:sp macro="" textlink="">
              <xdr:nvSpPr>
                <xdr:cNvPr id="124" name="Avrundet rektangel 35">
                  <a:extLst>
                    <a:ext uri="{FF2B5EF4-FFF2-40B4-BE49-F238E27FC236}">
                      <a16:creationId xmlns:a16="http://schemas.microsoft.com/office/drawing/2014/main" id="{CF8B3036-EEB3-0939-CBFA-23A69DBE2832}"/>
                    </a:ext>
                  </a:extLst>
                </xdr:cNvPr>
                <xdr:cNvSpPr/>
              </xdr:nvSpPr>
              <xdr:spPr>
                <a:xfrm>
                  <a:off x="708466" y="7653867"/>
                  <a:ext cx="20987615" cy="4664992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91440" tIns="4572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125" name="Avrundet rektangel 21">
                  <a:extLst>
                    <a:ext uri="{FF2B5EF4-FFF2-40B4-BE49-F238E27FC236}">
                      <a16:creationId xmlns:a16="http://schemas.microsoft.com/office/drawing/2014/main" id="{EF3C8F94-D84B-C3D4-04E0-650BA24353AB}"/>
                    </a:ext>
                  </a:extLst>
                </xdr:cNvPr>
                <xdr:cNvSpPr/>
              </xdr:nvSpPr>
              <xdr:spPr>
                <a:xfrm>
                  <a:off x="1020125" y="7887901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400" b="1" i="0" u="none" baseline="0" dirty="0" err="1">
                      <a:solidFill>
                        <a:srgbClr val="002E49"/>
                      </a:solidFill>
                      <a:latin typeface="Source Serif 4"/>
                      <a:ea typeface="Source Serif 4"/>
                    </a:rPr>
                    <a:t>Toimenpiteet</a:t>
                  </a:r>
                </a:p>
              </xdr:txBody>
            </xdr:sp>
            <xdr:sp macro="" textlink="">
              <xdr:nvSpPr>
                <xdr:cNvPr id="126" name="Avrundet rektangel 22">
                  <a:extLst>
                    <a:ext uri="{FF2B5EF4-FFF2-40B4-BE49-F238E27FC236}">
                      <a16:creationId xmlns:a16="http://schemas.microsoft.com/office/drawing/2014/main" id="{42E6655F-456C-3FE6-52E6-607CD5311A5D}"/>
                    </a:ext>
                  </a:extLst>
                </xdr:cNvPr>
                <xdr:cNvSpPr/>
              </xdr:nvSpPr>
              <xdr:spPr>
                <a:xfrm>
                  <a:off x="4744807" y="7887901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400" b="1" i="0" u="none" baseline="0" dirty="0" err="1">
                      <a:solidFill>
                        <a:srgbClr val="002E49"/>
                      </a:solidFill>
                      <a:latin typeface="Source Serif 4"/>
                      <a:ea typeface="Source Serif 4"/>
                    </a:rPr>
                    <a:t>Kuvaus</a:t>
                  </a:r>
                </a:p>
              </xdr:txBody>
            </xdr:sp>
            <xdr:grpSp>
              <xdr:nvGrpSpPr>
                <xdr:cNvPr id="127" name="Gruppe 36">
                  <a:extLst>
                    <a:ext uri="{FF2B5EF4-FFF2-40B4-BE49-F238E27FC236}">
                      <a16:creationId xmlns:a16="http://schemas.microsoft.com/office/drawing/2014/main" id="{8ABE1C71-21AC-9DB4-A6EE-7C58A63F7201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1037058" y="8504767"/>
                  <a:ext cx="3509378" cy="2768312"/>
                  <a:chOff x="1037058" y="8504767"/>
                  <a:chExt cx="3509378" cy="2768312"/>
                </a:xfrm>
              </xdr:grpSpPr>
              <xdr:sp macro="" textlink="" fLocksText="0">
                <xdr:nvSpPr>
                  <xdr:cNvPr id="134" name="Avrundet rektangel 23">
                    <a:extLst>
                      <a:ext uri="{FF2B5EF4-FFF2-40B4-BE49-F238E27FC236}">
                        <a16:creationId xmlns:a16="http://schemas.microsoft.com/office/drawing/2014/main" id="{361D063D-E964-5833-DD0E-6DEA84399110}"/>
                      </a:ext>
                    </a:extLst>
                  </xdr:cNvPr>
                  <xdr:cNvSpPr/>
                </xdr:nvSpPr>
                <xdr:spPr>
                  <a:xfrm>
                    <a:off x="1037059" y="8504767"/>
                    <a:ext cx="3507934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Uutena ostaminen (ei toimenpidettä)</a:t>
                    </a:r>
                  </a:p>
                </xdr:txBody>
              </xdr:sp>
              <xdr:sp macro="" textlink="" fLocksText="0">
                <xdr:nvSpPr>
                  <xdr:cNvPr id="135" name="Avrundet rektangel 27">
                    <a:extLst>
                      <a:ext uri="{FF2B5EF4-FFF2-40B4-BE49-F238E27FC236}">
                        <a16:creationId xmlns:a16="http://schemas.microsoft.com/office/drawing/2014/main" id="{049258C7-C1AC-0881-FD58-584F672E93C4}"/>
                      </a:ext>
                    </a:extLst>
                  </xdr:cNvPr>
                  <xdr:cNvSpPr/>
                </xdr:nvSpPr>
                <xdr:spPr>
                  <a:xfrm>
                    <a:off x="1037058" y="9224434"/>
                    <a:ext cx="3509378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Uuden ostaminen laajennetulla takuulla</a:t>
                    </a:r>
                  </a:p>
                </xdr:txBody>
              </xdr:sp>
              <xdr:sp macro="" textlink="" fLocksText="0">
                <xdr:nvSpPr>
                  <xdr:cNvPr id="136" name="Avrundet rektangel 29">
                    <a:extLst>
                      <a:ext uri="{FF2B5EF4-FFF2-40B4-BE49-F238E27FC236}">
                        <a16:creationId xmlns:a16="http://schemas.microsoft.com/office/drawing/2014/main" id="{CA796009-4380-569B-07B0-C2331E6513A2}"/>
                      </a:ext>
                    </a:extLst>
                  </xdr:cNvPr>
                  <xdr:cNvSpPr/>
                </xdr:nvSpPr>
                <xdr:spPr>
                  <a:xfrm>
                    <a:off x="1037058" y="9986374"/>
                    <a:ext cx="2882085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Käytettynä ostaminen</a:t>
                    </a:r>
                  </a:p>
                </xdr:txBody>
              </xdr:sp>
              <xdr:sp macro="" textlink="" fLocksText="0">
                <xdr:nvSpPr>
                  <xdr:cNvPr id="137" name="Avrundet rektangel 31">
                    <a:extLst>
                      <a:ext uri="{FF2B5EF4-FFF2-40B4-BE49-F238E27FC236}">
                        <a16:creationId xmlns:a16="http://schemas.microsoft.com/office/drawing/2014/main" id="{DE74BE6B-6ACD-2E98-F4C1-84968C4245CF}"/>
                      </a:ext>
                    </a:extLst>
                  </xdr:cNvPr>
                  <xdr:cNvSpPr/>
                </xdr:nvSpPr>
                <xdr:spPr>
                  <a:xfrm>
                    <a:off x="1037058" y="10629613"/>
                    <a:ext cx="2882085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Korjaus</a:t>
                    </a:r>
                  </a:p>
                </xdr:txBody>
              </xdr:sp>
            </xdr:grpSp>
            <xdr:grpSp>
              <xdr:nvGrpSpPr>
                <xdr:cNvPr id="128" name="Gruppe 37">
                  <a:extLst>
                    <a:ext uri="{FF2B5EF4-FFF2-40B4-BE49-F238E27FC236}">
                      <a16:creationId xmlns:a16="http://schemas.microsoft.com/office/drawing/2014/main" id="{A511A74D-AD96-5C9D-7966-58EE05EE1BA2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4795083" y="8505503"/>
                  <a:ext cx="14022863" cy="3447557"/>
                  <a:chOff x="4795083" y="8505503"/>
                  <a:chExt cx="14022863" cy="3447557"/>
                </a:xfrm>
              </xdr:grpSpPr>
              <xdr:sp macro="" textlink="" fLocksText="0">
                <xdr:nvSpPr>
                  <xdr:cNvPr id="129" name="Avrundet rektangel 24">
                    <a:extLst>
                      <a:ext uri="{FF2B5EF4-FFF2-40B4-BE49-F238E27FC236}">
                        <a16:creationId xmlns:a16="http://schemas.microsoft.com/office/drawing/2014/main" id="{14941782-1FB3-8595-6C27-2A5928232F65}"/>
                      </a:ext>
                    </a:extLst>
                  </xdr:cNvPr>
                  <xdr:cNvSpPr/>
                </xdr:nvSpPr>
                <xdr:spPr>
                  <a:xfrm>
                    <a:off x="4795083" y="8505503"/>
                    <a:ext cx="9719734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Laitteet ostetaan uutena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30" name="Avrundet rektangel 28">
                    <a:extLst>
                      <a:ext uri="{FF2B5EF4-FFF2-40B4-BE49-F238E27FC236}">
                        <a16:creationId xmlns:a16="http://schemas.microsoft.com/office/drawing/2014/main" id="{FE468063-B5DB-F1C8-AFD5-87CE691809D6}"/>
                      </a:ext>
                    </a:extLst>
                  </xdr:cNvPr>
                  <xdr:cNvSpPr/>
                </xdr:nvSpPr>
                <xdr:spPr>
                  <a:xfrm>
                    <a:off x="4795083" y="9186220"/>
                    <a:ext cx="14022863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Laitteet ostetaan laajennetulla takuuajalla vakioon verrattuna. Valitsemalla tämän toiminnon laskuri olettaa, että käyttöikä pitenee 1 vuodella; voit myös säätää elinkaarta manuaalisesti.</a:t>
                    </a:r>
                  </a:p>
                </xdr:txBody>
              </xdr:sp>
              <xdr:sp macro="" textlink="" fLocksText="0">
                <xdr:nvSpPr>
                  <xdr:cNvPr id="131" name="Avrundet rektangel 30">
                    <a:extLst>
                      <a:ext uri="{FF2B5EF4-FFF2-40B4-BE49-F238E27FC236}">
                        <a16:creationId xmlns:a16="http://schemas.microsoft.com/office/drawing/2014/main" id="{1770CC77-524B-2252-990D-966BAEB09F53}"/>
                      </a:ext>
                    </a:extLst>
                  </xdr:cNvPr>
                  <xdr:cNvSpPr/>
                </xdr:nvSpPr>
                <xdr:spPr>
                  <a:xfrm>
                    <a:off x="4795083" y="9986375"/>
                    <a:ext cx="9719733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Laitteet ostetaan käytettyinä/kunnostettuina ICT-laitteina. </a:t>
                    </a:r>
                  </a:p>
                </xdr:txBody>
              </xdr:sp>
              <xdr:sp macro="" textlink="" fLocksText="0">
                <xdr:nvSpPr>
                  <xdr:cNvPr id="132" name="Avrundet rektangel 32">
                    <a:extLst>
                      <a:ext uri="{FF2B5EF4-FFF2-40B4-BE49-F238E27FC236}">
                        <a16:creationId xmlns:a16="http://schemas.microsoft.com/office/drawing/2014/main" id="{A0F6B665-B442-1963-149D-FBD10FAD5D1E}"/>
                      </a:ext>
                    </a:extLst>
                  </xdr:cNvPr>
                  <xdr:cNvSpPr/>
                </xdr:nvSpPr>
                <xdr:spPr>
                  <a:xfrm>
                    <a:off x="4795083" y="10629613"/>
                    <a:ext cx="10083406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Kyseisen tuotteen korjauksia tulisi tarjota sen käyttöiän aikana uuden tuotteen ostamisen sijaan.</a:t>
                    </a:r>
                  </a:p>
                </xdr:txBody>
              </xdr:sp>
              <xdr:sp macro="" textlink="" fLocksText="0">
                <xdr:nvSpPr>
                  <xdr:cNvPr id="133" name="Avrundet rektangel 34">
                    <a:extLst>
                      <a:ext uri="{FF2B5EF4-FFF2-40B4-BE49-F238E27FC236}">
                        <a16:creationId xmlns:a16="http://schemas.microsoft.com/office/drawing/2014/main" id="{BE0AE21A-81E7-777C-5399-768598B8DCE9}"/>
                      </a:ext>
                    </a:extLst>
                  </xdr:cNvPr>
                  <xdr:cNvSpPr/>
                </xdr:nvSpPr>
                <xdr:spPr>
                  <a:xfrm>
                    <a:off x="4795083" y="11311066"/>
                    <a:ext cx="13847527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ctr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Laitteet, jotka eivät enää ole käytössä, välitetään yrityksen uutena ostamisen sijaan. Tässä laskurissa oletetaan, että käyttöikä lyhenee 1 vuodella uutena ostamiseen verrattuna. Oletuksena on nolla kuljetusta.</a:t>
                    </a:r>
                  </a:p>
                </xdr:txBody>
              </xdr:sp>
            </xdr:grpSp>
          </xdr:grpSp>
          <xdr:sp macro="" textlink="" fLocksText="0">
            <xdr:nvSpPr>
              <xdr:cNvPr id="123" name="Avrundet rektangel 33">
                <a:extLst>
                  <a:ext uri="{FF2B5EF4-FFF2-40B4-BE49-F238E27FC236}">
                    <a16:creationId xmlns:a16="http://schemas.microsoft.com/office/drawing/2014/main" id="{E153CAA1-13F6-DCA4-5FAB-3AC9EFBD1D53}"/>
                  </a:ext>
                </a:extLst>
              </xdr:cNvPr>
              <xdr:cNvSpPr/>
            </xdr:nvSpPr>
            <xdr:spPr>
              <a:xfrm>
                <a:off x="5067191" y="11624563"/>
                <a:ext cx="2882086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i="0" u="none" baseline="0" dirty="0" err="1">
                    <a:solidFill>
                      <a:srgbClr val="002E49"/>
                    </a:solidFill>
                    <a:latin typeface="Source Sans Pro"/>
                    <a:ea typeface="Source Sans Pro"/>
                  </a:rPr>
                  <a:t>Sisäinen uudelleenkäyttö</a:t>
                </a:r>
              </a:p>
            </xdr:txBody>
          </xdr:sp>
        </xdr:grpSp>
        <xdr:cxnSp macro="">
          <xdr:nvCxnSpPr>
            <xdr:cNvPr id="118" name="Rett linje 63">
              <a:extLst>
                <a:ext uri="{FF2B5EF4-FFF2-40B4-BE49-F238E27FC236}">
                  <a16:creationId xmlns:a16="http://schemas.microsoft.com/office/drawing/2014/main" id="{73A40C38-8610-A575-146A-3169B808C3A0}"/>
                </a:ext>
              </a:extLst>
            </xdr:cNvPr>
            <xdr:cNvCxnSpPr/>
          </xdr:nvCxnSpPr>
          <xdr:spPr>
            <a:xfrm>
              <a:off x="1341506" y="12580843"/>
              <a:ext cx="1927073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9" name="Rett linje 64">
              <a:extLst>
                <a:ext uri="{FF2B5EF4-FFF2-40B4-BE49-F238E27FC236}">
                  <a16:creationId xmlns:a16="http://schemas.microsoft.com/office/drawing/2014/main" id="{621F5921-0E6C-31DB-DF23-607D7D400297}"/>
                </a:ext>
              </a:extLst>
            </xdr:cNvPr>
            <xdr:cNvCxnSpPr/>
          </xdr:nvCxnSpPr>
          <xdr:spPr>
            <a:xfrm>
              <a:off x="1341506" y="13532425"/>
              <a:ext cx="1923263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0" name="Rett linje 65">
              <a:extLst>
                <a:ext uri="{FF2B5EF4-FFF2-40B4-BE49-F238E27FC236}">
                  <a16:creationId xmlns:a16="http://schemas.microsoft.com/office/drawing/2014/main" id="{3A1F6D2C-48B9-9BD2-3CF4-BA64D515FCC5}"/>
                </a:ext>
              </a:extLst>
            </xdr:cNvPr>
            <xdr:cNvCxnSpPr/>
          </xdr:nvCxnSpPr>
          <xdr:spPr>
            <a:xfrm>
              <a:off x="1341506" y="14170004"/>
              <a:ext cx="1921612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1" name="Rett linje 66">
              <a:extLst>
                <a:ext uri="{FF2B5EF4-FFF2-40B4-BE49-F238E27FC236}">
                  <a16:creationId xmlns:a16="http://schemas.microsoft.com/office/drawing/2014/main" id="{3C8703C8-509B-3223-C5C7-6D2E863877A2}"/>
                </a:ext>
              </a:extLst>
            </xdr:cNvPr>
            <xdr:cNvCxnSpPr/>
          </xdr:nvCxnSpPr>
          <xdr:spPr>
            <a:xfrm>
              <a:off x="1341506" y="14858249"/>
              <a:ext cx="19178025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16" name="Grafikk 115">
            <a:extLst>
              <a:ext uri="{FF2B5EF4-FFF2-40B4-BE49-F238E27FC236}">
                <a16:creationId xmlns:a16="http://schemas.microsoft.com/office/drawing/2014/main" id="{119A9A54-3399-3140-1EC8-149F20C099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21262358" y="11558935"/>
            <a:ext cx="703650" cy="109357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17138</xdr:colOff>
      <xdr:row>116</xdr:row>
      <xdr:rowOff>92710</xdr:rowOff>
    </xdr:from>
    <xdr:to>
      <xdr:col>24</xdr:col>
      <xdr:colOff>3095625</xdr:colOff>
      <xdr:row>141</xdr:row>
      <xdr:rowOff>1120588</xdr:rowOff>
    </xdr:to>
    <xdr:graphicFrame macro="">
      <xdr:nvGraphicFramePr>
        <xdr:cNvPr id="66" name="Chart 82">
          <a:extLst>
            <a:ext uri="{FF2B5EF4-FFF2-40B4-BE49-F238E27FC236}">
              <a16:creationId xmlns:a16="http://schemas.microsoft.com/office/drawing/2014/main" id="{66248911-6439-FC24-FF05-FED2F50005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20411</xdr:colOff>
      <xdr:row>124</xdr:row>
      <xdr:rowOff>16056</xdr:rowOff>
    </xdr:from>
    <xdr:to>
      <xdr:col>1</xdr:col>
      <xdr:colOff>3965864</xdr:colOff>
      <xdr:row>138</xdr:row>
      <xdr:rowOff>0</xdr:rowOff>
    </xdr:to>
    <xdr:sp macro="" textlink="$B$108">
      <xdr:nvSpPr>
        <xdr:cNvPr id="38" name="TextBox 26">
          <a:extLst>
            <a:ext uri="{FF2B5EF4-FFF2-40B4-BE49-F238E27FC236}">
              <a16:creationId xmlns:a16="http://schemas.microsoft.com/office/drawing/2014/main" id="{79C7BE8C-225D-905F-D678-2115D7F87648}"/>
            </a:ext>
          </a:extLst>
        </xdr:cNvPr>
        <xdr:cNvSpPr txBox="1"/>
      </xdr:nvSpPr>
      <xdr:spPr>
        <a:xfrm>
          <a:off x="1059502" y="43276874"/>
          <a:ext cx="3945453" cy="240849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BC878029-F1AD-43EB-A269-05DEF101B394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Jalanjälki, yhteensä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382069</xdr:colOff>
      <xdr:row>117</xdr:row>
      <xdr:rowOff>50434</xdr:rowOff>
    </xdr:from>
    <xdr:to>
      <xdr:col>1</xdr:col>
      <xdr:colOff>1542214</xdr:colOff>
      <xdr:row>123</xdr:row>
      <xdr:rowOff>106251</xdr:rowOff>
    </xdr:to>
    <xdr:pic>
      <xdr:nvPicPr>
        <xdr:cNvPr id="5" name="Grafikk 61">
          <a:extLst>
            <a:ext uri="{FF2B5EF4-FFF2-40B4-BE49-F238E27FC236}">
              <a16:creationId xmlns:a16="http://schemas.microsoft.com/office/drawing/2014/main" id="{94C1B9E8-4893-4DE2-B620-2FC5FDEB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1390650" y="43367325"/>
          <a:ext cx="1162050" cy="12001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13970</xdr:rowOff>
    </xdr:from>
    <xdr:to>
      <xdr:col>1</xdr:col>
      <xdr:colOff>2913380</xdr:colOff>
      <xdr:row>1</xdr:row>
      <xdr:rowOff>6350</xdr:rowOff>
    </xdr:to>
    <xdr:sp macro="" textlink="">
      <xdr:nvSpPr>
        <xdr:cNvPr id="33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C25C500-A46C-4087-92A6-B87725B4628D}"/>
            </a:ext>
          </a:extLst>
        </xdr:cNvPr>
        <xdr:cNvSpPr txBox="1"/>
      </xdr:nvSpPr>
      <xdr:spPr>
        <a:xfrm>
          <a:off x="1009650" y="9525"/>
          <a:ext cx="29146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l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2206161</xdr:colOff>
      <xdr:row>0</xdr:row>
      <xdr:rowOff>1270</xdr:rowOff>
    </xdr:from>
    <xdr:to>
      <xdr:col>2</xdr:col>
      <xdr:colOff>125901</xdr:colOff>
      <xdr:row>0</xdr:row>
      <xdr:rowOff>824230</xdr:rowOff>
    </xdr:to>
    <xdr:sp macro="" textlink="">
      <xdr:nvSpPr>
        <xdr:cNvPr id="34" name="TekstSylinder 6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4B8CA27-A2E3-421F-83F1-90E5E05302A4}"/>
            </a:ext>
          </a:extLst>
        </xdr:cNvPr>
        <xdr:cNvSpPr txBox="1"/>
      </xdr:nvSpPr>
      <xdr:spPr>
        <a:xfrm>
          <a:off x="3219450" y="0"/>
          <a:ext cx="186690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1</xdr:col>
      <xdr:colOff>4645367</xdr:colOff>
      <xdr:row>0</xdr:row>
      <xdr:rowOff>0</xdr:rowOff>
    </xdr:from>
    <xdr:to>
      <xdr:col>2</xdr:col>
      <xdr:colOff>2565107</xdr:colOff>
      <xdr:row>0</xdr:row>
      <xdr:rowOff>825500</xdr:rowOff>
    </xdr:to>
    <xdr:sp macro="" textlink="">
      <xdr:nvSpPr>
        <xdr:cNvPr id="35" name="TekstSylinder 2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637211B-DBBD-4DD2-B072-887C9658306C}"/>
            </a:ext>
          </a:extLst>
        </xdr:cNvPr>
        <xdr:cNvSpPr txBox="1"/>
      </xdr:nvSpPr>
      <xdr:spPr>
        <a:xfrm>
          <a:off x="4953000" y="0"/>
          <a:ext cx="2562225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2</xdr:col>
      <xdr:colOff>2329694</xdr:colOff>
      <xdr:row>0</xdr:row>
      <xdr:rowOff>0</xdr:rowOff>
    </xdr:from>
    <xdr:to>
      <xdr:col>3</xdr:col>
      <xdr:colOff>1704854</xdr:colOff>
      <xdr:row>0</xdr:row>
      <xdr:rowOff>825500</xdr:rowOff>
    </xdr:to>
    <xdr:sp macro="" textlink="">
      <xdr:nvSpPr>
        <xdr:cNvPr id="36" name="TekstSylinder 2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909DDED-2A80-4706-AB09-FDA684F7BBF7}"/>
            </a:ext>
          </a:extLst>
        </xdr:cNvPr>
        <xdr:cNvSpPr txBox="1"/>
      </xdr:nvSpPr>
      <xdr:spPr>
        <a:xfrm>
          <a:off x="7286625" y="0"/>
          <a:ext cx="2105025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417829</xdr:colOff>
      <xdr:row>0</xdr:row>
      <xdr:rowOff>248139</xdr:rowOff>
    </xdr:from>
    <xdr:to>
      <xdr:col>0</xdr:col>
      <xdr:colOff>858844</xdr:colOff>
      <xdr:row>0</xdr:row>
      <xdr:rowOff>627414</xdr:rowOff>
    </xdr:to>
    <xdr:pic>
      <xdr:nvPicPr>
        <xdr:cNvPr id="37" name="Grafikk 1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BC75EAF7-0EF1-457C-97BB-C1362D44B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19100" y="247650"/>
          <a:ext cx="438150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273558</xdr:colOff>
      <xdr:row>78</xdr:row>
      <xdr:rowOff>173989</xdr:rowOff>
    </xdr:from>
    <xdr:to>
      <xdr:col>1</xdr:col>
      <xdr:colOff>592836</xdr:colOff>
      <xdr:row>80</xdr:row>
      <xdr:rowOff>154177</xdr:rowOff>
    </xdr:to>
    <xdr:pic>
      <xdr:nvPicPr>
        <xdr:cNvPr id="2" name="Grafikk 582">
          <a:extLst>
            <a:ext uri="{FF2B5EF4-FFF2-40B4-BE49-F238E27FC236}">
              <a16:creationId xmlns:a16="http://schemas.microsoft.com/office/drawing/2014/main" id="{CD2DFCBF-2E22-47AC-9112-64CCE9EE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85875" y="26355675"/>
          <a:ext cx="323850" cy="36195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72</xdr:row>
      <xdr:rowOff>0</xdr:rowOff>
    </xdr:from>
    <xdr:to>
      <xdr:col>21</xdr:col>
      <xdr:colOff>87685</xdr:colOff>
      <xdr:row>75</xdr:row>
      <xdr:rowOff>43587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65348456-23EB-402A-A2E9-9DFCB7B671D5}"/>
            </a:ext>
          </a:extLst>
        </xdr:cNvPr>
        <xdr:cNvSpPr txBox="1"/>
      </xdr:nvSpPr>
      <xdr:spPr>
        <a:xfrm>
          <a:off x="1162050" y="25050750"/>
          <a:ext cx="26460450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Tarvitsetko apua?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75</xdr:row>
      <xdr:rowOff>63500</xdr:rowOff>
    </xdr:from>
    <xdr:to>
      <xdr:col>10</xdr:col>
      <xdr:colOff>622300</xdr:colOff>
      <xdr:row>78</xdr:row>
      <xdr:rowOff>107087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112B9843-A0C0-4F8E-ABC1-481F9CD838D6}"/>
            </a:ext>
          </a:extLst>
        </xdr:cNvPr>
        <xdr:cNvSpPr txBox="1"/>
      </xdr:nvSpPr>
      <xdr:spPr>
        <a:xfrm>
          <a:off x="1171575" y="25679400"/>
          <a:ext cx="18916650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Lähetä sähköpostia tai soita DFØ:n tukinumeroon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733778</xdr:colOff>
      <xdr:row>78</xdr:row>
      <xdr:rowOff>156635</xdr:rowOff>
    </xdr:from>
    <xdr:to>
      <xdr:col>5</xdr:col>
      <xdr:colOff>2521656</xdr:colOff>
      <xdr:row>81</xdr:row>
      <xdr:rowOff>67734</xdr:rowOff>
    </xdr:to>
    <xdr:sp macro="" textlink="">
      <xdr:nvSpPr>
        <xdr:cNvPr id="6" name="TekstSylinder 14">
          <a:extLst>
            <a:ext uri="{FF2B5EF4-FFF2-40B4-BE49-F238E27FC236}">
              <a16:creationId xmlns:a16="http://schemas.microsoft.com/office/drawing/2014/main" id="{0E0DFFBF-1AA5-4479-90C4-8BC96AD0D5D0}"/>
            </a:ext>
          </a:extLst>
        </xdr:cNvPr>
        <xdr:cNvSpPr txBox="1"/>
      </xdr:nvSpPr>
      <xdr:spPr>
        <a:xfrm>
          <a:off x="1743075" y="26336625"/>
          <a:ext cx="1228725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81</xdr:row>
      <xdr:rowOff>147541</xdr:rowOff>
    </xdr:from>
    <xdr:to>
      <xdr:col>1</xdr:col>
      <xdr:colOff>593662</xdr:colOff>
      <xdr:row>83</xdr:row>
      <xdr:rowOff>1047</xdr:rowOff>
    </xdr:to>
    <xdr:pic>
      <xdr:nvPicPr>
        <xdr:cNvPr id="7" name="Grafikk 15">
          <a:extLst>
            <a:ext uri="{FF2B5EF4-FFF2-40B4-BE49-F238E27FC236}">
              <a16:creationId xmlns:a16="http://schemas.microsoft.com/office/drawing/2014/main" id="{AA86125D-FE45-4C70-B4E6-5C03E24C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85875" y="26898600"/>
          <a:ext cx="323850" cy="238125"/>
        </a:xfrm>
        <a:prstGeom prst="rect">
          <a:avLst/>
        </a:prstGeom>
      </xdr:spPr>
    </xdr:pic>
    <xdr:clientData/>
  </xdr:twoCellAnchor>
  <xdr:twoCellAnchor>
    <xdr:from>
      <xdr:col>1</xdr:col>
      <xdr:colOff>733778</xdr:colOff>
      <xdr:row>81</xdr:row>
      <xdr:rowOff>61385</xdr:rowOff>
    </xdr:from>
    <xdr:to>
      <xdr:col>5</xdr:col>
      <xdr:colOff>2521656</xdr:colOff>
      <xdr:row>83</xdr:row>
      <xdr:rowOff>162984</xdr:rowOff>
    </xdr:to>
    <xdr:sp macro="" textlink="">
      <xdr:nvSpPr>
        <xdr:cNvPr id="8" name="TekstSylinder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9AE903D-3201-49F7-877B-07515EFF39C3}"/>
            </a:ext>
          </a:extLst>
        </xdr:cNvPr>
        <xdr:cNvSpPr txBox="1"/>
      </xdr:nvSpPr>
      <xdr:spPr>
        <a:xfrm>
          <a:off x="1743075" y="26812875"/>
          <a:ext cx="1228725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Yhteydenottolomake</a:t>
          </a:r>
        </a:p>
      </xdr:txBody>
    </xdr:sp>
    <xdr:clientData/>
  </xdr:twoCellAnchor>
  <xdr:twoCellAnchor>
    <xdr:from>
      <xdr:col>29</xdr:col>
      <xdr:colOff>225017</xdr:colOff>
      <xdr:row>21</xdr:row>
      <xdr:rowOff>0</xdr:rowOff>
    </xdr:from>
    <xdr:to>
      <xdr:col>29</xdr:col>
      <xdr:colOff>454159</xdr:colOff>
      <xdr:row>22</xdr:row>
      <xdr:rowOff>30648</xdr:rowOff>
    </xdr:to>
    <xdr:pic>
      <xdr:nvPicPr>
        <xdr:cNvPr id="16" name="Grafikk 25">
          <a:extLst>
            <a:ext uri="{FF2B5EF4-FFF2-40B4-BE49-F238E27FC236}">
              <a16:creationId xmlns:a16="http://schemas.microsoft.com/office/drawing/2014/main" id="{29DF3811-B0AF-4BFF-BB3C-CAB5DC0E3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33632775" y="8496300"/>
          <a:ext cx="228600" cy="21907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</xdr:row>
      <xdr:rowOff>157057</xdr:rowOff>
    </xdr:from>
    <xdr:to>
      <xdr:col>15</xdr:col>
      <xdr:colOff>838200</xdr:colOff>
      <xdr:row>8</xdr:row>
      <xdr:rowOff>299720</xdr:rowOff>
    </xdr:to>
    <xdr:sp macro="" textlink="">
      <xdr:nvSpPr>
        <xdr:cNvPr id="51" name="TekstSylinder 30">
          <a:extLst>
            <a:ext uri="{FF2B5EF4-FFF2-40B4-BE49-F238E27FC236}">
              <a16:creationId xmlns:a16="http://schemas.microsoft.com/office/drawing/2014/main" id="{33D070B3-62D9-4DF3-9229-1396432A1F7C}"/>
            </a:ext>
          </a:extLst>
        </xdr:cNvPr>
        <xdr:cNvSpPr txBox="1">
          <a:spLocks noChangeAspect="1"/>
        </xdr:cNvSpPr>
      </xdr:nvSpPr>
      <xdr:spPr>
        <a:xfrm>
          <a:off x="1038225" y="1666875"/>
          <a:ext cx="22831425" cy="12858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Tietokanta</a:t>
          </a:r>
        </a:p>
      </xdr:txBody>
    </xdr:sp>
    <xdr:clientData/>
  </xdr:twoCellAnchor>
  <xdr:twoCellAnchor>
    <xdr:from>
      <xdr:col>1</xdr:col>
      <xdr:colOff>222250</xdr:colOff>
      <xdr:row>6</xdr:row>
      <xdr:rowOff>155575</xdr:rowOff>
    </xdr:from>
    <xdr:to>
      <xdr:col>16</xdr:col>
      <xdr:colOff>158750</xdr:colOff>
      <xdr:row>9</xdr:row>
      <xdr:rowOff>0</xdr:rowOff>
    </xdr:to>
    <xdr:sp macro="" textlink="">
      <xdr:nvSpPr>
        <xdr:cNvPr id="48" name="TekstSylinder 2">
          <a:extLst>
            <a:ext uri="{FF2B5EF4-FFF2-40B4-BE49-F238E27FC236}">
              <a16:creationId xmlns:a16="http://schemas.microsoft.com/office/drawing/2014/main" id="{B992C505-A1B6-4C23-B93F-C89B4215A18D}"/>
            </a:ext>
          </a:extLst>
        </xdr:cNvPr>
        <xdr:cNvSpPr txBox="1"/>
      </xdr:nvSpPr>
      <xdr:spPr>
        <a:xfrm>
          <a:off x="1228725" y="2428875"/>
          <a:ext cx="22793325" cy="13239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endParaRPr lang="nb-NO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1056808</xdr:colOff>
      <xdr:row>11</xdr:row>
      <xdr:rowOff>611010</xdr:rowOff>
    </xdr:from>
    <xdr:to>
      <xdr:col>4</xdr:col>
      <xdr:colOff>2305050</xdr:colOff>
      <xdr:row>19</xdr:row>
      <xdr:rowOff>104774</xdr:rowOff>
    </xdr:to>
    <xdr:sp macro="" textlink="" fLocksText="0">
      <xdr:nvSpPr>
        <xdr:cNvPr id="43" name="Avrundet rektangel 67">
          <a:extLst>
            <a:ext uri="{FF2B5EF4-FFF2-40B4-BE49-F238E27FC236}">
              <a16:creationId xmlns:a16="http://schemas.microsoft.com/office/drawing/2014/main" id="{7B216F0E-A099-479E-A559-6749EB8FB737}"/>
            </a:ext>
          </a:extLst>
        </xdr:cNvPr>
        <xdr:cNvSpPr/>
      </xdr:nvSpPr>
      <xdr:spPr>
        <a:xfrm>
          <a:off x="1009650" y="5334000"/>
          <a:ext cx="9534525" cy="2886075"/>
        </a:xfrm>
        <a:prstGeom prst="roundRect">
          <a:avLst>
            <a:gd name="adj" fmla="val 10169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0000" tIns="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000" b="0" i="0" u="none" baseline="0">
            <a:solidFill>
              <a:srgbClr val="002E49"/>
            </a:solidFill>
            <a:effectLst/>
            <a:latin typeface="Source Sans Pro"/>
            <a:ea typeface="Source Sans Pro"/>
          </a:endParaRPr>
        </a:p>
        <a:p>
          <a:pPr>
            <a:def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Kasvihuonekaasupäästöt, käyttöiät ja uusien ICT-laitteiden hinnat on esitetty alla olevassa taulukossa. Kustannukset perustuvat arvioihin Norjan valtion hankintakeskuksen ICT-laitekategoriastrategiasta. Ilmastojalanjälki perustuu eri valmistajien PCF-arvoon (Product Carbon Footprint). Käyttöiät perustuvat DFØ:n ja PCF:n kokemuksiin. Jalanjälki sisältää laitteen tuotannon; energiankulutus jää pois.</a:t>
          </a:r>
          <a:r>
            <a: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105635</xdr:colOff>
      <xdr:row>10</xdr:row>
      <xdr:rowOff>242951</xdr:rowOff>
    </xdr:from>
    <xdr:to>
      <xdr:col>8</xdr:col>
      <xdr:colOff>97365</xdr:colOff>
      <xdr:row>11</xdr:row>
      <xdr:rowOff>636492</xdr:rowOff>
    </xdr:to>
    <xdr:sp macro="" textlink="" fLocksText="0">
      <xdr:nvSpPr>
        <xdr:cNvPr id="24" name="TekstSylinder 11">
          <a:extLst>
            <a:ext uri="{FF2B5EF4-FFF2-40B4-BE49-F238E27FC236}">
              <a16:creationId xmlns:a16="http://schemas.microsoft.com/office/drawing/2014/main" id="{43893BBB-FE44-4A42-A0E9-618ADE55557D}"/>
            </a:ext>
          </a:extLst>
        </xdr:cNvPr>
        <xdr:cNvSpPr txBox="1"/>
      </xdr:nvSpPr>
      <xdr:spPr>
        <a:xfrm>
          <a:off x="1114425" y="4352925"/>
          <a:ext cx="16983075" cy="1009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Täältä löydät yhteenvedon tietokannasta</a:t>
          </a:r>
        </a:p>
      </xdr:txBody>
    </xdr:sp>
    <xdr:clientData/>
  </xdr:twoCellAnchor>
  <xdr:twoCellAnchor>
    <xdr:from>
      <xdr:col>29</xdr:col>
      <xdr:colOff>533860</xdr:colOff>
      <xdr:row>13</xdr:row>
      <xdr:rowOff>166778</xdr:rowOff>
    </xdr:from>
    <xdr:to>
      <xdr:col>30</xdr:col>
      <xdr:colOff>9695</xdr:colOff>
      <xdr:row>15</xdr:row>
      <xdr:rowOff>87536</xdr:rowOff>
    </xdr:to>
    <xdr:pic>
      <xdr:nvPicPr>
        <xdr:cNvPr id="25" name="Grafikk 62">
          <a:extLst>
            <a:ext uri="{FF2B5EF4-FFF2-40B4-BE49-F238E27FC236}">
              <a16:creationId xmlns:a16="http://schemas.microsoft.com/office/drawing/2014/main" id="{FEEF0A4F-22E2-433B-859A-53B1F046E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33937575" y="6000750"/>
          <a:ext cx="209550" cy="685800"/>
        </a:xfrm>
        <a:prstGeom prst="rect">
          <a:avLst/>
        </a:prstGeom>
      </xdr:spPr>
    </xdr:pic>
    <xdr:clientData/>
  </xdr:twoCellAnchor>
  <xdr:twoCellAnchor editAs="oneCell">
    <xdr:from>
      <xdr:col>7</xdr:col>
      <xdr:colOff>628650</xdr:colOff>
      <xdr:row>1</xdr:row>
      <xdr:rowOff>241129</xdr:rowOff>
    </xdr:from>
    <xdr:to>
      <xdr:col>11</xdr:col>
      <xdr:colOff>132557</xdr:colOff>
      <xdr:row>8</xdr:row>
      <xdr:rowOff>706140</xdr:rowOff>
    </xdr:to>
    <xdr:pic>
      <xdr:nvPicPr>
        <xdr:cNvPr id="53" name="Grafikk 55">
          <a:extLst>
            <a:ext uri="{FF2B5EF4-FFF2-40B4-BE49-F238E27FC236}">
              <a16:creationId xmlns:a16="http://schemas.microsoft.com/office/drawing/2014/main" id="{9452B42F-5B67-439E-A443-74B16A55D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7897475" y="1076325"/>
          <a:ext cx="2438400" cy="2286000"/>
        </a:xfrm>
        <a:prstGeom prst="rect">
          <a:avLst/>
        </a:prstGeom>
      </xdr:spPr>
    </xdr:pic>
    <xdr:clientData/>
  </xdr:twoCellAnchor>
  <xdr:twoCellAnchor>
    <xdr:from>
      <xdr:col>4</xdr:col>
      <xdr:colOff>2570480</xdr:colOff>
      <xdr:row>11</xdr:row>
      <xdr:rowOff>625475</xdr:rowOff>
    </xdr:from>
    <xdr:to>
      <xdr:col>11</xdr:col>
      <xdr:colOff>625524</xdr:colOff>
      <xdr:row>19</xdr:row>
      <xdr:rowOff>55701</xdr:rowOff>
    </xdr:to>
    <xdr:grpSp>
      <xdr:nvGrpSpPr>
        <xdr:cNvPr id="37" name="Gruppe 28">
          <a:extLst>
            <a:ext uri="{FF2B5EF4-FFF2-40B4-BE49-F238E27FC236}">
              <a16:creationId xmlns:a16="http://schemas.microsoft.com/office/drawing/2014/main" id="{4268C67C-52CD-479C-B209-4B400B6C9C5B}"/>
            </a:ext>
          </a:extLst>
        </xdr:cNvPr>
        <xdr:cNvGrpSpPr>
          <a:grpSpLocks/>
        </xdr:cNvGrpSpPr>
      </xdr:nvGrpSpPr>
      <xdr:grpSpPr>
        <a:xfrm>
          <a:off x="11447780" y="5292725"/>
          <a:ext cx="10456594" cy="2821126"/>
          <a:chOff x="1182955" y="12788161"/>
          <a:chExt cx="6958662" cy="2458501"/>
        </a:xfrm>
      </xdr:grpSpPr>
      <xdr:sp macro="" textlink="" fLocksText="0">
        <xdr:nvSpPr>
          <xdr:cNvPr id="38" name="Avrundet rektangel 40">
            <a:extLst>
              <a:ext uri="{FF2B5EF4-FFF2-40B4-BE49-F238E27FC236}">
                <a16:creationId xmlns:a16="http://schemas.microsoft.com/office/drawing/2014/main" id="{7DB356DA-A4C2-34F7-F1F2-3555DD5DD699}"/>
              </a:ext>
            </a:extLst>
          </xdr:cNvPr>
          <xdr:cNvSpPr/>
        </xdr:nvSpPr>
        <xdr:spPr>
          <a:xfrm>
            <a:off x="1182955" y="12788161"/>
            <a:ext cx="6958662" cy="2458501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tiedoista, joihin se perustuu?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Täydellinen tietokanta voidaan ladata DFØ:n sivuilta.</a:t>
            </a:r>
            <a:r>
              <a: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39" name="Grafikk 303">
            <a:extLst>
              <a:ext uri="{FF2B5EF4-FFF2-40B4-BE49-F238E27FC236}">
                <a16:creationId xmlns:a16="http://schemas.microsoft.com/office/drawing/2014/main" id="{1208DDDA-3D20-4533-7154-79B26698E5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463965" y="13079940"/>
            <a:ext cx="242623" cy="313060"/>
          </a:xfrm>
          <a:prstGeom prst="rect">
            <a:avLst/>
          </a:prstGeom>
        </xdr:spPr>
      </xdr:pic>
      <xdr:grpSp>
        <xdr:nvGrpSpPr>
          <xdr:cNvPr id="40" name="Gruppe 579">
            <a:extLst>
              <a:ext uri="{FF2B5EF4-FFF2-40B4-BE49-F238E27FC236}">
                <a16:creationId xmlns:a16="http://schemas.microsoft.com/office/drawing/2014/main" id="{665C78B3-7128-7573-4F18-70CCA7E0C165}"/>
              </a:ext>
            </a:extLst>
          </xdr:cNvPr>
          <xdr:cNvGrpSpPr>
            <a:grpSpLocks/>
          </xdr:cNvGrpSpPr>
        </xdr:nvGrpSpPr>
        <xdr:grpSpPr>
          <a:xfrm>
            <a:off x="5275199" y="14366433"/>
            <a:ext cx="2651461" cy="424346"/>
            <a:chOff x="5201553" y="13127444"/>
            <a:chExt cx="2624774" cy="410674"/>
          </a:xfrm>
        </xdr:grpSpPr>
        <xdr:sp macro="" textlink="">
          <xdr:nvSpPr>
            <xdr:cNvPr id="41" name="Avrundet rektangel 4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475A6310-BD3E-AB85-A226-BA80C1EBEDCC}"/>
                </a:ext>
              </a:extLst>
            </xdr:cNvPr>
            <xdr:cNvSpPr/>
          </xdr:nvSpPr>
          <xdr:spPr>
            <a:xfrm>
              <a:off x="5201553" y="13127444"/>
              <a:ext cx="2624774" cy="41067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pic>
          <xdr:nvPicPr>
            <xdr:cNvPr id="42" name="Grafikk 25">
              <a:extLst>
                <a:ext uri="{FF2B5EF4-FFF2-40B4-BE49-F238E27FC236}">
                  <a16:creationId xmlns:a16="http://schemas.microsoft.com/office/drawing/2014/main" id="{6FA09709-3350-C71A-7152-BBCE71A0139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7477106" y="13192181"/>
              <a:ext cx="160226" cy="268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29210</xdr:colOff>
      <xdr:row>7</xdr:row>
      <xdr:rowOff>170815</xdr:rowOff>
    </xdr:from>
    <xdr:to>
      <xdr:col>4</xdr:col>
      <xdr:colOff>1326925</xdr:colOff>
      <xdr:row>10</xdr:row>
      <xdr:rowOff>391319</xdr:rowOff>
    </xdr:to>
    <xdr:sp macro="" textlink="">
      <xdr:nvSpPr>
        <xdr:cNvPr id="52" name="TekstSylinder 34">
          <a:extLst>
            <a:ext uri="{FF2B5EF4-FFF2-40B4-BE49-F238E27FC236}">
              <a16:creationId xmlns:a16="http://schemas.microsoft.com/office/drawing/2014/main" id="{CFB27884-451F-4529-867F-EFC836E6DE3B}"/>
            </a:ext>
          </a:extLst>
        </xdr:cNvPr>
        <xdr:cNvSpPr txBox="1">
          <a:spLocks noChangeAspect="1"/>
        </xdr:cNvSpPr>
      </xdr:nvSpPr>
      <xdr:spPr>
        <a:xfrm>
          <a:off x="1038225" y="2638425"/>
          <a:ext cx="8524875" cy="1857375"/>
        </a:xfrm>
        <a:prstGeom prst="rect">
          <a:avLst/>
        </a:prstGeom>
        <a:solidFill>
          <a:schemeClr val="accent2">
            <a:lumMod val="50000"/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5B91"/>
              </a:solidFill>
              <a:effectLst/>
              <a:latin typeface="Source Sans Pro"/>
              <a:ea typeface="Source Sans Pro"/>
            </a:rPr>
            <a:t>Täältä löydät tietoja työkalussa käytetystä tietokannasta. </a:t>
          </a:r>
          <a:endParaRPr lang="nb-NO" sz="2000">
            <a:solidFill>
              <a:schemeClr val="accent6"/>
            </a:solidFill>
            <a:effectLst/>
          </a:endParaRPr>
        </a:p>
      </xdr:txBody>
    </xdr:sp>
    <xdr:clientData/>
  </xdr:twoCellAnchor>
  <xdr:twoCellAnchor editAs="oneCell">
    <xdr:from>
      <xdr:col>7</xdr:col>
      <xdr:colOff>7619</xdr:colOff>
      <xdr:row>74</xdr:row>
      <xdr:rowOff>16509</xdr:rowOff>
    </xdr:from>
    <xdr:to>
      <xdr:col>13</xdr:col>
      <xdr:colOff>289559</xdr:colOff>
      <xdr:row>77</xdr:row>
      <xdr:rowOff>172719</xdr:rowOff>
    </xdr:to>
    <xdr:pic>
      <xdr:nvPicPr>
        <xdr:cNvPr id="59" name="Grafikk 583">
          <a:extLst>
            <a:ext uri="{FF2B5EF4-FFF2-40B4-BE49-F238E27FC236}">
              <a16:creationId xmlns:a16="http://schemas.microsoft.com/office/drawing/2014/main" id="{3ABC82EB-17CF-4283-9966-4E88CA3EC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17278350" y="25441275"/>
          <a:ext cx="4686300" cy="723900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552451</xdr:colOff>
      <xdr:row>24</xdr:row>
      <xdr:rowOff>170181</xdr:rowOff>
    </xdr:from>
    <xdr:to>
      <xdr:col>10</xdr:col>
      <xdr:colOff>400875</xdr:colOff>
      <xdr:row>31</xdr:row>
      <xdr:rowOff>113031</xdr:rowOff>
    </xdr:to>
    <xdr:pic>
      <xdr:nvPicPr>
        <xdr:cNvPr id="9" name="Grafikk 55">
          <a:extLst>
            <a:ext uri="{FF2B5EF4-FFF2-40B4-BE49-F238E27FC236}">
              <a16:creationId xmlns:a16="http://schemas.microsoft.com/office/drawing/2014/main" id="{7EBD8DFC-A683-4922-FC93-5BAFC9735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821275" y="9410700"/>
          <a:ext cx="2047875" cy="26098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13970</xdr:rowOff>
    </xdr:from>
    <xdr:to>
      <xdr:col>2</xdr:col>
      <xdr:colOff>147320</xdr:colOff>
      <xdr:row>0</xdr:row>
      <xdr:rowOff>836930</xdr:rowOff>
    </xdr:to>
    <xdr:sp macro="" textlink="">
      <xdr:nvSpPr>
        <xdr:cNvPr id="10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C3F8659-BC8D-4FCD-AFDC-C2E2A06F88C4}"/>
            </a:ext>
          </a:extLst>
        </xdr:cNvPr>
        <xdr:cNvSpPr txBox="1"/>
      </xdr:nvSpPr>
      <xdr:spPr>
        <a:xfrm>
          <a:off x="1009650" y="9525"/>
          <a:ext cx="24479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l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2206161</xdr:colOff>
      <xdr:row>0</xdr:row>
      <xdr:rowOff>1270</xdr:rowOff>
    </xdr:from>
    <xdr:to>
      <xdr:col>2</xdr:col>
      <xdr:colOff>2099481</xdr:colOff>
      <xdr:row>0</xdr:row>
      <xdr:rowOff>824230</xdr:rowOff>
    </xdr:to>
    <xdr:sp macro="" textlink="">
      <xdr:nvSpPr>
        <xdr:cNvPr id="11" name="TekstSylinder 6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060B23B-B883-4ADA-AD55-93A184BBCAA8}"/>
            </a:ext>
          </a:extLst>
        </xdr:cNvPr>
        <xdr:cNvSpPr txBox="1"/>
      </xdr:nvSpPr>
      <xdr:spPr>
        <a:xfrm>
          <a:off x="3219450" y="0"/>
          <a:ext cx="22002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2</xdr:col>
      <xdr:colOff>1879307</xdr:colOff>
      <xdr:row>0</xdr:row>
      <xdr:rowOff>0</xdr:rowOff>
    </xdr:from>
    <xdr:to>
      <xdr:col>3</xdr:col>
      <xdr:colOff>842987</xdr:colOff>
      <xdr:row>0</xdr:row>
      <xdr:rowOff>825500</xdr:rowOff>
    </xdr:to>
    <xdr:sp macro="" textlink="">
      <xdr:nvSpPr>
        <xdr:cNvPr id="12" name="TekstSylinder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5B699E41-0B4B-40FF-B708-D5F4A7116193}"/>
            </a:ext>
          </a:extLst>
        </xdr:cNvPr>
        <xdr:cNvSpPr txBox="1"/>
      </xdr:nvSpPr>
      <xdr:spPr>
        <a:xfrm>
          <a:off x="5191125" y="0"/>
          <a:ext cx="2038350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</xdr:col>
      <xdr:colOff>607574</xdr:colOff>
      <xdr:row>0</xdr:row>
      <xdr:rowOff>0</xdr:rowOff>
    </xdr:from>
    <xdr:to>
      <xdr:col>4</xdr:col>
      <xdr:colOff>1461014</xdr:colOff>
      <xdr:row>0</xdr:row>
      <xdr:rowOff>825500</xdr:rowOff>
    </xdr:to>
    <xdr:sp macro="" textlink="">
      <xdr:nvSpPr>
        <xdr:cNvPr id="13" name="TekstSylinder 2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A195BD3-C387-4863-861A-C19CE968CCA3}"/>
            </a:ext>
          </a:extLst>
        </xdr:cNvPr>
        <xdr:cNvSpPr txBox="1"/>
      </xdr:nvSpPr>
      <xdr:spPr>
        <a:xfrm>
          <a:off x="7000875" y="0"/>
          <a:ext cx="2705100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417829</xdr:colOff>
      <xdr:row>0</xdr:row>
      <xdr:rowOff>248139</xdr:rowOff>
    </xdr:from>
    <xdr:to>
      <xdr:col>0</xdr:col>
      <xdr:colOff>858844</xdr:colOff>
      <xdr:row>0</xdr:row>
      <xdr:rowOff>627414</xdr:rowOff>
    </xdr:to>
    <xdr:pic>
      <xdr:nvPicPr>
        <xdr:cNvPr id="14" name="Grafikk 1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AE367BCF-3827-4C85-8CA7-CCD852624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419100" y="247650"/>
          <a:ext cx="438150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ltaksvelger - design M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a Arntzen Nistad" id="{AF96B5F2-4A0D-43AC-9E57-ECC65CE9E3FC}" userId="S::andrea.nistad@asplanviak.no::073c490c-78cd-4384-8c47-7cd0a37f58b1" providerId="AD"/>
</personList>
</file>

<file path=xl/theme/theme1.xml><?xml version="1.0" encoding="utf-8"?>
<a:theme xmlns:a="http://schemas.openxmlformats.org/drawingml/2006/main" name="Ppt-office-mal-DFØ">
  <a:themeElements>
    <a:clrScheme name="DFØ-farger med mørk blå">
      <a:dk1>
        <a:srgbClr val="000000"/>
      </a:dk1>
      <a:lt1>
        <a:srgbClr val="FFFFFF"/>
      </a:lt1>
      <a:dk2>
        <a:srgbClr val="012A4C"/>
      </a:dk2>
      <a:lt2>
        <a:srgbClr val="E7E6E6"/>
      </a:lt2>
      <a:accent1>
        <a:srgbClr val="009FE3"/>
      </a:accent1>
      <a:accent2>
        <a:srgbClr val="00AB84"/>
      </a:accent2>
      <a:accent3>
        <a:srgbClr val="FCCB56"/>
      </a:accent3>
      <a:accent4>
        <a:srgbClr val="E83F53"/>
      </a:accent4>
      <a:accent5>
        <a:srgbClr val="0097AB"/>
      </a:accent5>
      <a:accent6>
        <a:srgbClr val="005B91"/>
      </a:accent6>
      <a:hlink>
        <a:srgbClr val="0563C1"/>
      </a:hlink>
      <a:folHlink>
        <a:srgbClr val="954F72"/>
      </a:folHlink>
    </a:clrScheme>
    <a:fontScheme name="DFØ">
      <a:majorFont>
        <a:latin typeface="Source Serif 4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sz="2000" b="1" dirty="0" err="1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custClrLst>
    <a:custClr name="Blå">
      <a:srgbClr val="0085C0"/>
    </a:custClr>
    <a:custClr name="Grønn">
      <a:srgbClr val="0A8E6E"/>
    </a:custClr>
    <a:custClr name="Oransje">
      <a:srgbClr val="F0A519"/>
    </a:custClr>
    <a:custClr name="Rød">
      <a:srgbClr val="CA0D47"/>
    </a:custClr>
    <a:custClr name="Mørk turkis">
      <a:srgbClr val="0099AB"/>
    </a:custClr>
    <a:custClr name="Mørk blå">
      <a:srgbClr val="0D3B73"/>
    </a:custClr>
    <a:custClr name="Sort">
      <a:srgbClr val="000000"/>
    </a:custClr>
  </a:custClrLst>
  <a:extLst>
    <a:ext uri="{05A4C25C-085E-4340-85A3-A5531E510DB2}">
      <thm15:themeFamily xmlns:thm15="http://schemas.microsoft.com/office/thememl/2012/main" name="Ppt-office-mal-DFØ" id="{B60602E2-2394-4E61-871C-E003F8AE54B2}" vid="{30B4D355-16B4-48EB-A842-EBE696BB4009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" dT="2024-12-13T09:13:24.00" personId="{AF96B5F2-4A0D-43AC-9E57-ECC65CE9E3FC}" id="{CE8CCE2F-1D51-466F-9E52-882E1AF4CCC2}">
    <text>Molly; dette er A1-A3 nå?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5AD52-5D40-4E2E-B2DC-BE1963FD841D}">
  <sheetPr>
    <tabColor rgb="FF09A981"/>
  </sheetPr>
  <dimension ref="A1:P183"/>
  <sheetViews>
    <sheetView showGridLines="0" tabSelected="1" zoomScale="60" zoomScaleNormal="60" workbookViewId="0">
      <pane ySplit="1" topLeftCell="A8" activePane="bottomLeft" state="frozen"/>
      <selection pane="bottomLeft" activeCell="A2" sqref="A2"/>
    </sheetView>
  </sheetViews>
  <sheetFormatPr defaultColWidth="11" defaultRowHeight="14.45"/>
  <cols>
    <col min="1" max="1" width="15.140625" customWidth="1"/>
  </cols>
  <sheetData>
    <row r="1" spans="1:9" s="2" customFormat="1" ht="66" customHeight="1">
      <c r="A1" s="15" t="s">
        <v>0</v>
      </c>
    </row>
    <row r="2" spans="1:9" s="12" customFormat="1" ht="53.25" customHeight="1">
      <c r="B2" s="11"/>
    </row>
    <row r="3" spans="1:9" s="12" customFormat="1"/>
    <row r="4" spans="1:9" s="12" customFormat="1"/>
    <row r="5" spans="1:9" s="12" customFormat="1"/>
    <row r="6" spans="1:9" s="12" customFormat="1"/>
    <row r="7" spans="1:9" s="12" customFormat="1"/>
    <row r="8" spans="1:9" s="12" customFormat="1"/>
    <row r="9" spans="1:9" s="12" customFormat="1"/>
    <row r="10" spans="1:9" s="12" customFormat="1"/>
    <row r="11" spans="1:9" s="12" customFormat="1"/>
    <row r="12" spans="1:9" s="12" customFormat="1"/>
    <row r="13" spans="1:9" s="12" customFormat="1" ht="38.25" customHeight="1"/>
    <row r="14" spans="1:9" ht="28.15" customHeight="1">
      <c r="I14" s="1"/>
    </row>
    <row r="15" spans="1:9" ht="48.75" customHeight="1"/>
    <row r="17" ht="37.15" customHeight="1"/>
    <row r="18" ht="6" customHeight="1"/>
    <row r="40" spans="13:16">
      <c r="M40" s="161"/>
      <c r="N40" s="161"/>
      <c r="O40" s="161"/>
      <c r="P40" s="161"/>
    </row>
    <row r="41" spans="13:16">
      <c r="M41" s="161"/>
      <c r="N41" s="161"/>
      <c r="O41" s="161"/>
      <c r="P41" s="161"/>
    </row>
    <row r="42" spans="13:16">
      <c r="M42" s="161"/>
      <c r="N42" s="161"/>
      <c r="O42" s="161"/>
      <c r="P42" s="161"/>
    </row>
    <row r="64" ht="55.15" customHeight="1"/>
    <row r="65" ht="165" customHeight="1"/>
    <row r="66" ht="57" customHeight="1"/>
    <row r="81" s="5" customFormat="1"/>
    <row r="82" s="5" customFormat="1"/>
    <row r="83" s="5" customFormat="1"/>
    <row r="84" s="5" customFormat="1"/>
    <row r="85" s="5" customFormat="1" ht="14.25" customHeigh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 ht="176.25" customHeigh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  <row r="179" s="4" customFormat="1"/>
    <row r="180" s="4" customFormat="1"/>
    <row r="181" s="4" customFormat="1"/>
    <row r="182" s="4" customFormat="1"/>
    <row r="183" s="4" customFormat="1"/>
  </sheetData>
  <sheetProtection algorithmName="SHA-512" hashValue="K7/9E7CGVZJJW6z6ayEL0kJ87lGQnrKQOWHO16BCW2a4yL0lmgXqyO1xjGkKaggdB+TxRvh99RMAR3p/tceNwg==" saltValue="QFXZ8AHodbpIUlWqcxH6WA==" spinCount="100000" sheet="1" objects="1" scenarios="1"/>
  <mergeCells count="3">
    <mergeCell ref="M40:P40"/>
    <mergeCell ref="M41:P41"/>
    <mergeCell ref="M42:P42"/>
  </mergeCells>
  <hyperlinks>
    <hyperlink ref="A1" location="Johdanto!A1" display="Johdanto!A1" xr:uid="{00000000-0004-0000-00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88533-B45D-47CE-AB55-570EC4EF0332}">
  <sheetPr>
    <tabColor rgb="FF09A981"/>
  </sheetPr>
  <dimension ref="A1:O127"/>
  <sheetViews>
    <sheetView zoomScale="60" zoomScaleNormal="60" workbookViewId="0">
      <pane ySplit="1" topLeftCell="A2" activePane="bottomLeft" state="frozen"/>
      <selection pane="bottomLeft" activeCell="C103" sqref="C103"/>
    </sheetView>
  </sheetViews>
  <sheetFormatPr defaultColWidth="11" defaultRowHeight="14.45"/>
  <cols>
    <col min="1" max="1" width="15.140625" style="4" customWidth="1"/>
    <col min="2" max="2" width="70.42578125" style="4" customWidth="1"/>
    <col min="3" max="3" width="49.42578125" style="4" customWidth="1"/>
    <col min="4" max="4" width="45.28515625" style="4" bestFit="1" customWidth="1"/>
    <col min="5" max="5" width="78.28515625" style="4" bestFit="1" customWidth="1"/>
    <col min="6" max="6" width="77.42578125" style="4" bestFit="1" customWidth="1"/>
    <col min="7" max="7" width="32.5703125" style="4" bestFit="1" customWidth="1"/>
    <col min="8" max="8" width="25.7109375" style="4" customWidth="1"/>
    <col min="9" max="9" width="11" style="4" customWidth="1"/>
    <col min="10" max="10" width="15.7109375" style="4" customWidth="1"/>
    <col min="11" max="15" width="28.42578125" style="4" customWidth="1"/>
    <col min="16" max="16" width="23.140625" style="4" customWidth="1"/>
    <col min="17" max="16384" width="11" style="4"/>
  </cols>
  <sheetData>
    <row r="1" spans="1:7" s="2" customFormat="1" ht="65.25" customHeight="1">
      <c r="A1" s="22" t="s">
        <v>0</v>
      </c>
      <c r="G1" s="23"/>
    </row>
    <row r="2" spans="1:7" s="12" customFormat="1">
      <c r="G2" s="24"/>
    </row>
    <row r="3" spans="1:7" s="12" customFormat="1">
      <c r="G3" s="24"/>
    </row>
    <row r="4" spans="1:7" s="12" customFormat="1">
      <c r="G4" s="24"/>
    </row>
    <row r="5" spans="1:7" s="12" customFormat="1">
      <c r="G5" s="24"/>
    </row>
    <row r="6" spans="1:7" s="12" customFormat="1">
      <c r="G6" s="24"/>
    </row>
    <row r="7" spans="1:7" s="12" customFormat="1">
      <c r="G7" s="24"/>
    </row>
    <row r="8" spans="1:7" s="12" customFormat="1">
      <c r="G8" s="24"/>
    </row>
    <row r="9" spans="1:7" s="12" customFormat="1">
      <c r="G9" s="24"/>
    </row>
    <row r="10" spans="1:7" s="12" customFormat="1">
      <c r="G10" s="24"/>
    </row>
    <row r="11" spans="1:7" s="12" customFormat="1">
      <c r="G11" s="24"/>
    </row>
    <row r="12" spans="1:7" s="12" customFormat="1">
      <c r="G12" s="24"/>
    </row>
    <row r="13" spans="1:7" s="12" customFormat="1">
      <c r="G13" s="24"/>
    </row>
    <row r="14" spans="1:7" s="12" customFormat="1">
      <c r="G14" s="24"/>
    </row>
    <row r="15" spans="1:7" s="12" customFormat="1">
      <c r="G15" s="24"/>
    </row>
    <row r="16" spans="1:7" s="12" customFormat="1">
      <c r="G16" s="24"/>
    </row>
    <row r="17" spans="2:7" s="12" customFormat="1">
      <c r="G17" s="24"/>
    </row>
    <row r="18" spans="2:7" ht="33" customHeight="1">
      <c r="G18" s="25"/>
    </row>
    <row r="19" spans="2:7" ht="23.25" customHeight="1">
      <c r="G19" s="25"/>
    </row>
    <row r="20" spans="2:7" ht="76.150000000000006" customHeight="1">
      <c r="G20" s="26"/>
    </row>
    <row r="21" spans="2:7" ht="300" customHeight="1">
      <c r="B21" s="27"/>
      <c r="G21" s="26"/>
    </row>
    <row r="22" spans="2:7" s="28" customFormat="1" ht="107.25" customHeight="1">
      <c r="F22" s="29"/>
    </row>
    <row r="23" spans="2:7" s="28" customFormat="1" ht="21">
      <c r="C23" s="30"/>
    </row>
    <row r="24" spans="2:7" s="28" customFormat="1" ht="40.15" customHeight="1">
      <c r="B24" s="31" t="s">
        <v>1</v>
      </c>
      <c r="C24" s="6"/>
    </row>
    <row r="25" spans="2:7" s="28" customFormat="1" ht="21">
      <c r="B25" s="32"/>
      <c r="C25" s="32"/>
    </row>
    <row r="26" spans="2:7" s="28" customFormat="1" ht="24" customHeight="1">
      <c r="C26" s="33"/>
    </row>
    <row r="27" spans="2:7" s="28" customFormat="1" ht="31.15">
      <c r="B27" s="34" t="s">
        <v>2</v>
      </c>
      <c r="C27" s="34" t="s">
        <v>3</v>
      </c>
    </row>
    <row r="28" spans="2:7" s="28" customFormat="1" ht="15" customHeight="1">
      <c r="B28" s="35"/>
      <c r="C28" s="36"/>
    </row>
    <row r="29" spans="2:7" s="28" customFormat="1" ht="40.15" customHeight="1">
      <c r="B29" s="37" t="str">
        <f>'Tietokanta (piilotetaan käytön '!B2</f>
        <v xml:space="preserve">Tietokoneen_näyttö </v>
      </c>
      <c r="C29" s="3"/>
    </row>
    <row r="30" spans="2:7" s="28" customFormat="1" ht="40.15" customHeight="1">
      <c r="B30" s="37" t="str">
        <f>'Tietokanta (piilotetaan käytön '!B9</f>
        <v xml:space="preserve">Kannettava_tietokone </v>
      </c>
      <c r="C30" s="3"/>
    </row>
    <row r="31" spans="2:7" s="28" customFormat="1" ht="40.15" customHeight="1">
      <c r="B31" s="37" t="str">
        <f>'Tietokanta (piilotetaan käytön '!B15</f>
        <v xml:space="preserve">Pöytätietokone </v>
      </c>
      <c r="C31" s="3"/>
    </row>
    <row r="32" spans="2:7" s="28" customFormat="1" ht="40.15" customHeight="1">
      <c r="B32" s="37" t="str">
        <f>'Tietokanta (piilotetaan käytön '!B18</f>
        <v xml:space="preserve">Matkapuhelin </v>
      </c>
      <c r="C32" s="3"/>
    </row>
    <row r="33" spans="2:8" s="28" customFormat="1" ht="40.15" customHeight="1">
      <c r="B33" s="37" t="str">
        <f>'Tietokanta (piilotetaan käytön '!B23</f>
        <v xml:space="preserve">Tabletti </v>
      </c>
      <c r="C33" s="3"/>
    </row>
    <row r="34" spans="2:8" s="28" customFormat="1" ht="40.15" customHeight="1">
      <c r="B34" s="37" t="str">
        <f>'Tietokanta (piilotetaan käytön '!B27</f>
        <v xml:space="preserve">Kokoushuoneen_näyttö </v>
      </c>
      <c r="C34" s="3"/>
    </row>
    <row r="35" spans="2:8" s="28" customFormat="1" ht="40.15" customHeight="1">
      <c r="B35" s="37" t="str">
        <f>'Tietokanta (piilotetaan käytön '!B35</f>
        <v xml:space="preserve">Reititin </v>
      </c>
      <c r="C35" s="3"/>
    </row>
    <row r="36" spans="2:8" s="28" customFormat="1" ht="40.15" customHeight="1">
      <c r="B36" s="37" t="str">
        <f>'Tietokanta (piilotetaan käytön '!B36</f>
        <v xml:space="preserve">Tulostin </v>
      </c>
      <c r="C36" s="3"/>
    </row>
    <row r="37" spans="2:8" s="28" customFormat="1" ht="40.15" customHeight="1">
      <c r="E37" s="38"/>
      <c r="F37" s="38"/>
      <c r="G37" s="38"/>
      <c r="H37" s="38"/>
    </row>
    <row r="38" spans="2:8" s="28" customFormat="1" ht="98.25" customHeight="1">
      <c r="E38" s="38"/>
      <c r="F38" s="38"/>
      <c r="G38" s="38"/>
      <c r="H38" s="38"/>
    </row>
    <row r="39" spans="2:8" s="39" customFormat="1" ht="207" customHeight="1">
      <c r="B39" s="40"/>
      <c r="C39" s="41"/>
      <c r="D39" s="41"/>
      <c r="E39" s="42"/>
      <c r="F39" s="42"/>
      <c r="G39" s="43"/>
      <c r="H39" s="43"/>
    </row>
    <row r="40" spans="2:8" s="39" customFormat="1" ht="35.25" customHeight="1">
      <c r="B40" s="44"/>
      <c r="D40" s="41"/>
      <c r="E40" s="42"/>
      <c r="F40" s="42"/>
      <c r="G40" s="43"/>
      <c r="H40" s="43"/>
    </row>
    <row r="41" spans="2:8" s="43" customFormat="1" ht="67.5" customHeight="1">
      <c r="B41" s="21" t="s">
        <v>4</v>
      </c>
      <c r="E41" s="42"/>
      <c r="F41" s="42"/>
    </row>
    <row r="42" spans="2:8" s="39" customFormat="1" ht="18">
      <c r="B42" s="45"/>
      <c r="C42" s="41"/>
      <c r="D42" s="41"/>
      <c r="E42" s="45"/>
      <c r="F42" s="41"/>
    </row>
    <row r="43" spans="2:8" s="39" customFormat="1">
      <c r="B43" s="41"/>
      <c r="C43" s="41"/>
      <c r="D43" s="41"/>
      <c r="E43" s="41"/>
      <c r="F43" s="41"/>
    </row>
    <row r="44" spans="2:8" s="39" customFormat="1" ht="15.6">
      <c r="B44" s="41"/>
      <c r="C44" s="41"/>
      <c r="D44" s="41"/>
      <c r="E44" s="41"/>
      <c r="F44" s="46"/>
    </row>
    <row r="45" spans="2:8" s="39" customFormat="1">
      <c r="B45" s="41"/>
      <c r="C45" s="41"/>
      <c r="D45" s="41"/>
      <c r="E45" s="41"/>
      <c r="F45" s="47"/>
      <c r="G45" s="41"/>
      <c r="H45" s="41"/>
    </row>
    <row r="46" spans="2:8" s="39" customFormat="1">
      <c r="B46" s="41"/>
      <c r="C46" s="41"/>
      <c r="D46" s="41"/>
      <c r="E46" s="41"/>
      <c r="F46" s="41"/>
      <c r="G46" s="41"/>
      <c r="H46" s="41"/>
    </row>
    <row r="47" spans="2:8" s="39" customFormat="1">
      <c r="B47" s="41"/>
      <c r="C47" s="41"/>
      <c r="D47" s="41"/>
      <c r="E47" s="41"/>
    </row>
    <row r="48" spans="2:8" s="39" customFormat="1">
      <c r="B48" s="41"/>
      <c r="C48" s="41"/>
      <c r="D48" s="41"/>
      <c r="E48" s="41"/>
    </row>
    <row r="49" spans="2:6" s="39" customFormat="1">
      <c r="B49" s="41"/>
      <c r="C49" s="41"/>
      <c r="D49" s="41"/>
      <c r="E49" s="41"/>
    </row>
    <row r="50" spans="2:6" s="39" customFormat="1">
      <c r="B50" s="41"/>
      <c r="C50" s="41"/>
      <c r="D50" s="41"/>
      <c r="E50" s="41"/>
    </row>
    <row r="51" spans="2:6" s="39" customFormat="1">
      <c r="B51" s="41"/>
      <c r="C51" s="41"/>
      <c r="D51" s="41"/>
      <c r="E51" s="41"/>
    </row>
    <row r="52" spans="2:6" s="39" customFormat="1">
      <c r="B52" s="41"/>
      <c r="C52" s="41"/>
      <c r="D52" s="41"/>
      <c r="E52" s="41"/>
      <c r="F52" s="41"/>
    </row>
    <row r="53" spans="2:6" s="39" customFormat="1">
      <c r="B53" s="41"/>
      <c r="C53" s="41"/>
      <c r="D53" s="41"/>
      <c r="E53" s="41"/>
      <c r="F53" s="41"/>
    </row>
    <row r="54" spans="2:6" s="39" customFormat="1">
      <c r="B54" s="41"/>
      <c r="C54" s="41"/>
      <c r="D54" s="41"/>
      <c r="E54" s="41"/>
      <c r="F54" s="41"/>
    </row>
    <row r="55" spans="2:6" s="39" customFormat="1">
      <c r="B55" s="41"/>
      <c r="C55" s="41"/>
      <c r="D55" s="41"/>
      <c r="E55" s="41"/>
      <c r="F55" s="41"/>
    </row>
    <row r="56" spans="2:6" s="39" customFormat="1">
      <c r="B56" s="41"/>
      <c r="C56" s="41"/>
      <c r="D56" s="41"/>
      <c r="E56" s="41"/>
      <c r="F56" s="41"/>
    </row>
    <row r="57" spans="2:6" s="39" customFormat="1">
      <c r="B57" s="41"/>
      <c r="C57" s="41"/>
      <c r="D57" s="41"/>
      <c r="E57" s="41"/>
      <c r="F57" s="41"/>
    </row>
    <row r="58" spans="2:6" s="39" customFormat="1">
      <c r="B58" s="41"/>
      <c r="C58" s="41"/>
      <c r="D58" s="41"/>
      <c r="E58" s="41"/>
      <c r="F58" s="41"/>
    </row>
    <row r="59" spans="2:6" s="39" customFormat="1">
      <c r="B59" s="41"/>
      <c r="C59" s="41"/>
      <c r="D59" s="41"/>
      <c r="E59" s="41"/>
      <c r="F59" s="41"/>
    </row>
    <row r="60" spans="2:6" s="39" customFormat="1">
      <c r="B60" s="41"/>
      <c r="C60" s="41"/>
      <c r="D60" s="41"/>
      <c r="E60" s="41"/>
      <c r="F60" s="41"/>
    </row>
    <row r="61" spans="2:6" s="39" customFormat="1">
      <c r="B61" s="41"/>
      <c r="C61" s="41"/>
      <c r="D61" s="41"/>
      <c r="E61" s="41"/>
      <c r="F61" s="41"/>
    </row>
    <row r="62" spans="2:6" s="39" customFormat="1">
      <c r="B62" s="41"/>
      <c r="C62" s="41"/>
      <c r="D62" s="41"/>
      <c r="E62" s="41"/>
      <c r="F62" s="41"/>
    </row>
    <row r="63" spans="2:6" s="39" customFormat="1">
      <c r="B63" s="41"/>
      <c r="C63" s="41"/>
      <c r="D63" s="41"/>
      <c r="E63" s="41"/>
      <c r="F63" s="41"/>
    </row>
    <row r="64" spans="2:6" s="39" customFormat="1">
      <c r="B64" s="41"/>
      <c r="C64" s="41"/>
      <c r="D64" s="41"/>
      <c r="E64" s="41"/>
      <c r="F64" s="41"/>
    </row>
    <row r="65" spans="2:6" s="39" customFormat="1">
      <c r="B65" s="41"/>
      <c r="C65" s="41"/>
      <c r="D65" s="41"/>
      <c r="E65" s="41"/>
      <c r="F65" s="41"/>
    </row>
    <row r="66" spans="2:6" s="39" customFormat="1">
      <c r="B66" s="41"/>
      <c r="C66" s="41"/>
      <c r="D66" s="41"/>
      <c r="E66" s="41"/>
      <c r="F66" s="41"/>
    </row>
    <row r="67" spans="2:6" s="39" customFormat="1"/>
    <row r="68" spans="2:6" s="39" customFormat="1"/>
    <row r="69" spans="2:6" s="39" customFormat="1"/>
    <row r="70" spans="2:6" s="39" customFormat="1"/>
    <row r="71" spans="2:6" s="39" customFormat="1"/>
    <row r="72" spans="2:6" s="39" customFormat="1"/>
    <row r="73" spans="2:6" s="39" customFormat="1"/>
    <row r="74" spans="2:6" s="39" customFormat="1"/>
    <row r="75" spans="2:6" s="39" customFormat="1"/>
    <row r="76" spans="2:6" s="39" customFormat="1"/>
    <row r="77" spans="2:6" s="39" customFormat="1"/>
    <row r="78" spans="2:6" s="39" customFormat="1"/>
    <row r="79" spans="2:6" s="39" customFormat="1"/>
    <row r="80" spans="2:6" s="39" customFormat="1"/>
    <row r="81" spans="2:15" s="39" customFormat="1"/>
    <row r="82" spans="2:15" s="39" customFormat="1"/>
    <row r="83" spans="2:15" s="39" customFormat="1"/>
    <row r="84" spans="2:15" s="39" customFormat="1"/>
    <row r="85" spans="2:15" s="39" customFormat="1"/>
    <row r="86" spans="2:15" s="39" customFormat="1"/>
    <row r="87" spans="2:15" s="39" customFormat="1"/>
    <row r="88" spans="2:15" s="39" customFormat="1" ht="280.5" customHeight="1"/>
    <row r="89" spans="2:15" s="39" customFormat="1" ht="76.150000000000006" customHeight="1"/>
    <row r="90" spans="2:15" s="39" customFormat="1" ht="26.25" customHeight="1">
      <c r="G90" s="41"/>
      <c r="H90" s="41"/>
      <c r="I90" s="41"/>
      <c r="J90" s="41"/>
      <c r="K90" s="41"/>
      <c r="L90" s="41"/>
      <c r="M90" s="41"/>
      <c r="N90" s="41"/>
    </row>
    <row r="91" spans="2:15" s="39" customFormat="1" ht="21">
      <c r="B91" s="48"/>
      <c r="C91" s="41"/>
      <c r="D91" s="41"/>
      <c r="E91" s="41"/>
      <c r="F91" s="41"/>
      <c r="G91" s="140"/>
      <c r="H91" s="140"/>
      <c r="I91" s="141" t="s">
        <v>5</v>
      </c>
      <c r="J91" s="140"/>
      <c r="K91" s="140"/>
      <c r="L91" s="140"/>
      <c r="M91" s="140"/>
      <c r="N91" s="140"/>
      <c r="O91" s="140"/>
    </row>
    <row r="92" spans="2:15" s="39" customFormat="1" ht="40.15" customHeight="1">
      <c r="B92" s="49" t="s">
        <v>6</v>
      </c>
      <c r="C92" s="49" t="s">
        <v>7</v>
      </c>
      <c r="D92" s="149" t="s">
        <v>8</v>
      </c>
      <c r="E92" s="49" t="s">
        <v>9</v>
      </c>
      <c r="F92" s="49" t="s">
        <v>10</v>
      </c>
      <c r="G92" s="140" t="s">
        <v>11</v>
      </c>
      <c r="H92" s="140" t="s">
        <v>12</v>
      </c>
      <c r="I92" s="140" t="s">
        <v>12</v>
      </c>
      <c r="J92" s="140" t="s">
        <v>13</v>
      </c>
      <c r="K92" s="140" t="str">
        <f>$B$41</f>
        <v>Jalanjälki, vuodessa [kg CO2-ekv]</v>
      </c>
      <c r="L92" s="140"/>
      <c r="M92" s="140"/>
      <c r="N92" s="140"/>
      <c r="O92" s="140"/>
    </row>
    <row r="93" spans="2:15" s="39" customFormat="1" ht="28.15" customHeight="1">
      <c r="B93" s="50" t="str">
        <f t="shared" ref="B93:B99" si="0">B29</f>
        <v xml:space="preserve">Tietokoneen_näyttö </v>
      </c>
      <c r="C93" s="51">
        <f t="shared" ref="C93:C100" si="1">ROUND(VLOOKUP(B29&amp;"Keskiarvo",Tietojen_perusta,4,FALSE)*C29/VLOOKUP(B29&amp;"Keskiarvo",Tietojen_perusta,5,FALSE),0)</f>
        <v>0</v>
      </c>
      <c r="D93" s="51">
        <f t="shared" ref="D93:D100" si="2">C29*VLOOKUP(B29&amp;"Keskiarvo",Tietojen_perusta,6,FALSE)/VLOOKUP(B29&amp;"Keskiarvo",Tietojen_perusta,5,FALSE)</f>
        <v>0</v>
      </c>
      <c r="E93" s="51" t="e">
        <f t="shared" ref="E93:E100" si="3">ROUND(VLOOKUP(B29&amp;"Keskiarvo",Tietojen_perusta,4,FALSE)*C29/$C$24,0)</f>
        <v>#DIV/0!</v>
      </c>
      <c r="F93" s="51" t="e">
        <f t="shared" ref="F93:F100" si="4">ROUND(E93/VLOOKUP(B93&amp;"Keskiarvo",Tietojen_perusta,5,FALSE),0)</f>
        <v>#DIV/0!</v>
      </c>
      <c r="G93" s="142">
        <f>HLOOKUP($B$41,$C$92:$F$100,2,FALSE)+ROW()/1000000</f>
        <v>9.2999999999999997E-5</v>
      </c>
      <c r="H93" s="140">
        <f t="shared" ref="H93:H100" si="5">RANK(G93,G$93:G$100,0)</f>
        <v>8</v>
      </c>
      <c r="I93" s="140">
        <f>1</f>
        <v>1</v>
      </c>
      <c r="J93" s="140" t="str">
        <f>INDEX(B$93:B$100,MATCH($I93,H$93:H$100,0))</f>
        <v xml:space="preserve">Tulostin </v>
      </c>
      <c r="K93" s="142">
        <f t="shared" ref="K93:K100" si="6">VLOOKUP(J93,$B$93:$G$102,6,FALSE)</f>
        <v>1E-4</v>
      </c>
      <c r="L93" s="140"/>
      <c r="M93" s="140"/>
      <c r="N93" s="140"/>
      <c r="O93" s="140"/>
    </row>
    <row r="94" spans="2:15" s="39" customFormat="1" ht="28.15" customHeight="1">
      <c r="B94" s="50" t="str">
        <f t="shared" si="0"/>
        <v xml:space="preserve">Kannettava_tietokone </v>
      </c>
      <c r="C94" s="51">
        <f t="shared" si="1"/>
        <v>0</v>
      </c>
      <c r="D94" s="51">
        <f t="shared" si="2"/>
        <v>0</v>
      </c>
      <c r="E94" s="51" t="e">
        <f t="shared" si="3"/>
        <v>#DIV/0!</v>
      </c>
      <c r="F94" s="51" t="e">
        <f t="shared" si="4"/>
        <v>#DIV/0!</v>
      </c>
      <c r="G94" s="143">
        <f>HLOOKUP($B$41,$C$92:$F$100,3,FALSE)+ROW()/1000000</f>
        <v>9.3999999999999994E-5</v>
      </c>
      <c r="H94" s="140">
        <f t="shared" si="5"/>
        <v>7</v>
      </c>
      <c r="I94" s="140">
        <v>2</v>
      </c>
      <c r="J94" s="140" t="str">
        <f t="shared" ref="J94:J100" si="7">INDEX(B$93:B$100,MATCH(I94,H$93:H$100,0))</f>
        <v xml:space="preserve">Reititin </v>
      </c>
      <c r="K94" s="142">
        <f t="shared" si="6"/>
        <v>9.8999999999999994E-5</v>
      </c>
      <c r="L94" s="140"/>
      <c r="M94" s="140"/>
      <c r="N94" s="140"/>
      <c r="O94" s="140"/>
    </row>
    <row r="95" spans="2:15" s="39" customFormat="1" ht="28.15" customHeight="1">
      <c r="B95" s="50" t="str">
        <f t="shared" si="0"/>
        <v xml:space="preserve">Pöytätietokone </v>
      </c>
      <c r="C95" s="51">
        <f t="shared" si="1"/>
        <v>0</v>
      </c>
      <c r="D95" s="51">
        <f t="shared" si="2"/>
        <v>0</v>
      </c>
      <c r="E95" s="51" t="e">
        <f t="shared" si="3"/>
        <v>#DIV/0!</v>
      </c>
      <c r="F95" s="51" t="e">
        <f t="shared" si="4"/>
        <v>#DIV/0!</v>
      </c>
      <c r="G95" s="142">
        <f>HLOOKUP($B$41,$C$92:$F$100,4,FALSE)+ROW()/1000000</f>
        <v>9.5000000000000005E-5</v>
      </c>
      <c r="H95" s="140">
        <f t="shared" si="5"/>
        <v>6</v>
      </c>
      <c r="I95" s="140">
        <v>3</v>
      </c>
      <c r="J95" s="140" t="str">
        <f t="shared" si="7"/>
        <v xml:space="preserve">Kokoushuoneen_näyttö </v>
      </c>
      <c r="K95" s="142">
        <f t="shared" si="6"/>
        <v>9.7999999999999997E-5</v>
      </c>
      <c r="L95" s="140"/>
      <c r="M95" s="140"/>
      <c r="N95" s="140"/>
      <c r="O95" s="140"/>
    </row>
    <row r="96" spans="2:15" s="39" customFormat="1" ht="28.15" customHeight="1">
      <c r="B96" s="50" t="str">
        <f t="shared" si="0"/>
        <v xml:space="preserve">Matkapuhelin </v>
      </c>
      <c r="C96" s="51">
        <f t="shared" si="1"/>
        <v>0</v>
      </c>
      <c r="D96" s="51">
        <f t="shared" si="2"/>
        <v>0</v>
      </c>
      <c r="E96" s="51" t="e">
        <f t="shared" si="3"/>
        <v>#DIV/0!</v>
      </c>
      <c r="F96" s="51" t="e">
        <f t="shared" si="4"/>
        <v>#DIV/0!</v>
      </c>
      <c r="G96" s="142">
        <f>HLOOKUP($B$41,$C$92:$F$100,5,FALSE)+ROW()/1000000</f>
        <v>9.6000000000000002E-5</v>
      </c>
      <c r="H96" s="140">
        <f t="shared" si="5"/>
        <v>5</v>
      </c>
      <c r="I96" s="140">
        <v>4</v>
      </c>
      <c r="J96" s="140" t="str">
        <f t="shared" si="7"/>
        <v xml:space="preserve">Tabletti </v>
      </c>
      <c r="K96" s="142">
        <f t="shared" si="6"/>
        <v>9.7E-5</v>
      </c>
      <c r="L96" s="140"/>
      <c r="M96" s="140"/>
      <c r="N96" s="140"/>
      <c r="O96" s="140"/>
    </row>
    <row r="97" spans="2:15" s="39" customFormat="1" ht="28.15" customHeight="1">
      <c r="B97" s="50" t="str">
        <f t="shared" si="0"/>
        <v xml:space="preserve">Tabletti </v>
      </c>
      <c r="C97" s="51">
        <f t="shared" si="1"/>
        <v>0</v>
      </c>
      <c r="D97" s="51">
        <f t="shared" si="2"/>
        <v>0</v>
      </c>
      <c r="E97" s="51" t="e">
        <f t="shared" si="3"/>
        <v>#DIV/0!</v>
      </c>
      <c r="F97" s="51" t="e">
        <f t="shared" si="4"/>
        <v>#DIV/0!</v>
      </c>
      <c r="G97" s="142">
        <f>HLOOKUP($B$41,$C$92:$F$100,6,FALSE)+ROW()/1000000</f>
        <v>9.7E-5</v>
      </c>
      <c r="H97" s="140">
        <f t="shared" si="5"/>
        <v>4</v>
      </c>
      <c r="I97" s="140">
        <v>5</v>
      </c>
      <c r="J97" s="140" t="str">
        <f t="shared" si="7"/>
        <v xml:space="preserve">Matkapuhelin </v>
      </c>
      <c r="K97" s="142">
        <f t="shared" si="6"/>
        <v>9.6000000000000002E-5</v>
      </c>
      <c r="L97" s="140"/>
      <c r="M97" s="140"/>
      <c r="N97" s="140"/>
      <c r="O97" s="140"/>
    </row>
    <row r="98" spans="2:15" s="39" customFormat="1" ht="28.15" customHeight="1">
      <c r="B98" s="50" t="str">
        <f>B34</f>
        <v xml:space="preserve">Kokoushuoneen_näyttö </v>
      </c>
      <c r="C98" s="51">
        <f t="shared" si="1"/>
        <v>0</v>
      </c>
      <c r="D98" s="51">
        <f t="shared" si="2"/>
        <v>0</v>
      </c>
      <c r="E98" s="51" t="e">
        <f t="shared" si="3"/>
        <v>#DIV/0!</v>
      </c>
      <c r="F98" s="51" t="e">
        <f t="shared" si="4"/>
        <v>#DIV/0!</v>
      </c>
      <c r="G98" s="142">
        <f>HLOOKUP($B$41,$C$92:$F$100,7,FALSE)+ROW()/1000000</f>
        <v>9.7999999999999997E-5</v>
      </c>
      <c r="H98" s="140">
        <f t="shared" si="5"/>
        <v>3</v>
      </c>
      <c r="I98" s="140">
        <v>6</v>
      </c>
      <c r="J98" s="140" t="str">
        <f t="shared" si="7"/>
        <v xml:space="preserve">Pöytätietokone </v>
      </c>
      <c r="K98" s="142">
        <f t="shared" si="6"/>
        <v>9.5000000000000005E-5</v>
      </c>
      <c r="L98" s="140"/>
      <c r="M98" s="140"/>
      <c r="N98" s="140"/>
      <c r="O98" s="140"/>
    </row>
    <row r="99" spans="2:15" s="39" customFormat="1" ht="28.15" customHeight="1">
      <c r="B99" s="50" t="str">
        <f t="shared" si="0"/>
        <v xml:space="preserve">Reititin </v>
      </c>
      <c r="C99" s="51">
        <f t="shared" si="1"/>
        <v>0</v>
      </c>
      <c r="D99" s="51">
        <f t="shared" si="2"/>
        <v>0</v>
      </c>
      <c r="E99" s="51" t="e">
        <f t="shared" si="3"/>
        <v>#DIV/0!</v>
      </c>
      <c r="F99" s="51" t="e">
        <f t="shared" si="4"/>
        <v>#DIV/0!</v>
      </c>
      <c r="G99" s="142">
        <f>HLOOKUP($B$41,$C$92:$F$100,8,FALSE)+ROW()/1000000</f>
        <v>9.8999999999999994E-5</v>
      </c>
      <c r="H99" s="140">
        <f t="shared" si="5"/>
        <v>2</v>
      </c>
      <c r="I99" s="140">
        <v>7</v>
      </c>
      <c r="J99" s="140" t="str">
        <f t="shared" si="7"/>
        <v xml:space="preserve">Kannettava_tietokone </v>
      </c>
      <c r="K99" s="142">
        <f t="shared" si="6"/>
        <v>9.3999999999999994E-5</v>
      </c>
      <c r="L99" s="140"/>
      <c r="M99" s="140"/>
      <c r="N99" s="140"/>
      <c r="O99" s="140"/>
    </row>
    <row r="100" spans="2:15" s="39" customFormat="1" ht="28.15" customHeight="1">
      <c r="B100" s="50" t="str">
        <f>B36</f>
        <v xml:space="preserve">Tulostin </v>
      </c>
      <c r="C100" s="51">
        <f t="shared" si="1"/>
        <v>0</v>
      </c>
      <c r="D100" s="51">
        <f t="shared" si="2"/>
        <v>0</v>
      </c>
      <c r="E100" s="51" t="e">
        <f t="shared" si="3"/>
        <v>#DIV/0!</v>
      </c>
      <c r="F100" s="51" t="e">
        <f t="shared" si="4"/>
        <v>#DIV/0!</v>
      </c>
      <c r="G100" s="142">
        <f>HLOOKUP($B$41,$C$92:$F$100,9,FALSE)+ROW()/1000000</f>
        <v>1E-4</v>
      </c>
      <c r="H100" s="140">
        <f t="shared" si="5"/>
        <v>1</v>
      </c>
      <c r="I100" s="140">
        <v>8</v>
      </c>
      <c r="J100" s="140" t="str">
        <f t="shared" si="7"/>
        <v xml:space="preserve">Tietokoneen_näyttö </v>
      </c>
      <c r="K100" s="142">
        <f t="shared" si="6"/>
        <v>9.2999999999999997E-5</v>
      </c>
      <c r="L100" s="140"/>
      <c r="M100" s="140"/>
      <c r="N100" s="140"/>
      <c r="O100" s="140"/>
    </row>
    <row r="101" spans="2:15" s="39" customFormat="1" ht="28.15" customHeight="1">
      <c r="B101" s="50" t="s">
        <v>14</v>
      </c>
      <c r="C101" s="51">
        <f>SUM(C93:C100)</f>
        <v>0</v>
      </c>
      <c r="D101" s="51">
        <f>SUM(D93:D100)</f>
        <v>0</v>
      </c>
      <c r="E101" s="51" t="e">
        <f>SUM(E93:E100)</f>
        <v>#DIV/0!</v>
      </c>
      <c r="F101" s="51" t="e">
        <f>SUM(F93:F100)</f>
        <v>#DIV/0!</v>
      </c>
      <c r="G101" s="142"/>
      <c r="H101" s="140"/>
      <c r="I101" s="140"/>
      <c r="J101" s="140"/>
      <c r="K101" s="142"/>
      <c r="L101" s="140"/>
      <c r="M101" s="140"/>
      <c r="N101" s="140"/>
      <c r="O101" s="140"/>
    </row>
    <row r="102" spans="2:15" s="41" customFormat="1" ht="28.15" customHeight="1">
      <c r="B102" s="140"/>
      <c r="C102" s="140"/>
      <c r="D102" s="140"/>
      <c r="E102" s="140"/>
      <c r="G102" s="140"/>
      <c r="H102" s="140"/>
      <c r="I102" s="140"/>
      <c r="J102" s="140" t="s">
        <v>15</v>
      </c>
      <c r="K102" s="142">
        <f>SUM(K93:K100)</f>
        <v>7.7200000000000001E-4</v>
      </c>
      <c r="L102" s="140"/>
      <c r="M102" s="140"/>
      <c r="N102" s="140"/>
      <c r="O102" s="140"/>
    </row>
    <row r="103" spans="2:15" s="41" customFormat="1">
      <c r="B103" s="140"/>
      <c r="C103" s="140"/>
      <c r="D103" s="140"/>
      <c r="E103" s="140"/>
      <c r="G103" s="140"/>
      <c r="H103" s="140"/>
      <c r="I103" s="140"/>
      <c r="J103" s="140"/>
      <c r="K103" s="140"/>
      <c r="L103" s="140"/>
      <c r="M103" s="140"/>
      <c r="N103" s="140"/>
      <c r="O103" s="140"/>
    </row>
    <row r="104" spans="2:15" s="41" customFormat="1">
      <c r="B104" s="140"/>
      <c r="C104" s="140"/>
      <c r="D104" s="140"/>
      <c r="E104" s="140"/>
      <c r="G104" s="140"/>
      <c r="H104" s="140"/>
      <c r="I104" s="140"/>
      <c r="J104" s="140"/>
      <c r="K104" s="140"/>
      <c r="L104" s="140"/>
      <c r="M104" s="140"/>
      <c r="N104" s="140"/>
      <c r="O104" s="140"/>
    </row>
    <row r="105" spans="2:15" s="41" customFormat="1" ht="23.45">
      <c r="B105" s="140" t="s">
        <v>16</v>
      </c>
      <c r="C105" s="144" t="e">
        <f>TEXT(ROUND(E101,1),"### ### ##0")&amp;" kg CO2-ekv"</f>
        <v>#DIV/0!</v>
      </c>
      <c r="D105" s="140"/>
      <c r="E105" s="140"/>
      <c r="G105" s="140"/>
      <c r="H105" s="140"/>
      <c r="I105" s="140"/>
      <c r="J105" s="140"/>
      <c r="K105" s="140"/>
      <c r="L105" s="140"/>
      <c r="M105" s="140"/>
      <c r="N105" s="140"/>
      <c r="O105" s="140"/>
    </row>
    <row r="106" spans="2:15" s="41" customFormat="1" ht="23.45">
      <c r="B106" s="140"/>
      <c r="C106" s="145"/>
      <c r="D106" s="140"/>
      <c r="E106" s="140"/>
      <c r="G106" s="140"/>
      <c r="H106" s="140"/>
      <c r="I106" s="140"/>
      <c r="J106" s="140"/>
      <c r="K106" s="140"/>
      <c r="L106" s="140"/>
      <c r="M106" s="140"/>
      <c r="N106" s="140"/>
      <c r="O106" s="140"/>
    </row>
    <row r="107" spans="2:15" s="41" customFormat="1" ht="23.45">
      <c r="B107" s="140" t="s">
        <v>17</v>
      </c>
      <c r="C107" s="144" t="str">
        <f>TEXT(ROUND(C101,0),"### ### ##0")&amp;" kg CO2-ekv"</f>
        <v>0 kg CO2-ekv</v>
      </c>
      <c r="D107" s="140"/>
      <c r="E107" s="140"/>
      <c r="G107" s="140"/>
      <c r="H107" s="140"/>
      <c r="I107" s="140"/>
      <c r="J107" s="140"/>
      <c r="K107" s="140"/>
      <c r="L107" s="140"/>
      <c r="M107" s="140"/>
      <c r="N107" s="140"/>
      <c r="O107" s="140"/>
    </row>
    <row r="108" spans="2:15" s="41" customFormat="1" ht="23.45">
      <c r="B108" s="146" t="s">
        <v>18</v>
      </c>
      <c r="C108" s="147" t="str">
        <f>ROUND(C101/0.27089717/700,0)&amp;" lennot"</f>
        <v>0 lennot</v>
      </c>
      <c r="D108" s="146" t="s">
        <v>19</v>
      </c>
      <c r="E108" s="146"/>
      <c r="G108" s="140"/>
      <c r="H108" s="140"/>
      <c r="I108" s="140"/>
      <c r="J108" s="140"/>
      <c r="K108" s="140"/>
      <c r="L108" s="140"/>
      <c r="M108" s="140"/>
      <c r="N108" s="140"/>
      <c r="O108" s="140"/>
    </row>
    <row r="109" spans="2:15" s="52" customFormat="1" ht="23.45">
      <c r="B109" s="146" t="s">
        <v>20</v>
      </c>
      <c r="C109" s="148" t="e">
        <f>TEXT(F101,"### ### ##0")&amp;" kg CO2-ekv"</f>
        <v>#DIV/0!</v>
      </c>
      <c r="D109" s="146"/>
      <c r="E109" s="146"/>
    </row>
    <row r="110" spans="2:15" s="52" customFormat="1">
      <c r="B110" s="146"/>
      <c r="C110" s="146"/>
      <c r="D110" s="146"/>
      <c r="E110" s="146"/>
    </row>
    <row r="111" spans="2:15" s="52" customFormat="1" ht="23.45">
      <c r="B111" s="146" t="s">
        <v>21</v>
      </c>
      <c r="C111" s="148" t="str">
        <f>TEXT(ROUND(D101,0),"### ### ##0")&amp;" NOK/vuosi"</f>
        <v xml:space="preserve">  0 NOK/vuosi</v>
      </c>
      <c r="D111" s="146"/>
      <c r="E111" s="146"/>
    </row>
    <row r="112" spans="2:15" s="52" customFormat="1">
      <c r="B112" s="146"/>
      <c r="C112" s="146"/>
      <c r="D112" s="146"/>
      <c r="E112" s="146"/>
    </row>
    <row r="113" spans="1:6" s="52" customFormat="1">
      <c r="B113" s="146"/>
      <c r="C113" s="146"/>
      <c r="D113" s="146"/>
      <c r="E113" s="146"/>
    </row>
    <row r="114" spans="1:6" s="52" customFormat="1">
      <c r="B114" s="146"/>
      <c r="C114" s="146"/>
      <c r="D114" s="146"/>
      <c r="E114" s="146"/>
    </row>
    <row r="115" spans="1:6" s="52" customFormat="1">
      <c r="B115" s="146"/>
      <c r="C115" s="146"/>
      <c r="D115" s="146"/>
      <c r="E115" s="146"/>
    </row>
    <row r="116" spans="1:6" s="52" customFormat="1">
      <c r="B116" s="146"/>
      <c r="C116" s="146"/>
      <c r="D116" s="146"/>
      <c r="E116" s="146"/>
    </row>
    <row r="117" spans="1:6" s="52" customFormat="1">
      <c r="B117" s="146"/>
      <c r="C117" s="146"/>
      <c r="D117" s="146"/>
      <c r="E117" s="146"/>
    </row>
    <row r="118" spans="1:6" s="53" customFormat="1">
      <c r="A118" s="52"/>
      <c r="B118" s="146"/>
      <c r="C118" s="146"/>
      <c r="D118" s="146"/>
      <c r="E118" s="146"/>
      <c r="F118" s="52"/>
    </row>
    <row r="119" spans="1:6" s="53" customFormat="1">
      <c r="A119" s="52"/>
      <c r="B119" s="146"/>
      <c r="C119" s="146"/>
      <c r="D119" s="146"/>
      <c r="E119" s="146"/>
      <c r="F119" s="52"/>
    </row>
    <row r="120" spans="1:6" s="53" customFormat="1">
      <c r="A120" s="52"/>
      <c r="B120" s="146"/>
      <c r="C120" s="146"/>
      <c r="D120" s="146"/>
      <c r="E120" s="146"/>
      <c r="F120" s="52"/>
    </row>
    <row r="121" spans="1:6" s="53" customFormat="1">
      <c r="A121" s="52"/>
      <c r="B121" s="146"/>
      <c r="C121" s="146"/>
      <c r="D121" s="146"/>
      <c r="E121" s="146"/>
      <c r="F121" s="52"/>
    </row>
    <row r="122" spans="1:6" s="53" customFormat="1">
      <c r="A122" s="52"/>
      <c r="B122" s="146"/>
      <c r="C122" s="146"/>
      <c r="D122" s="146"/>
      <c r="E122" s="146"/>
      <c r="F122" s="52"/>
    </row>
    <row r="123" spans="1:6" s="53" customFormat="1">
      <c r="A123" s="52"/>
      <c r="B123" s="146"/>
      <c r="C123" s="146"/>
      <c r="D123" s="146"/>
      <c r="E123" s="146"/>
      <c r="F123" s="52"/>
    </row>
    <row r="124" spans="1:6" s="53" customFormat="1">
      <c r="A124" s="52"/>
      <c r="B124" s="52"/>
      <c r="C124" s="52"/>
      <c r="D124" s="52"/>
      <c r="E124" s="52"/>
      <c r="F124" s="52"/>
    </row>
    <row r="125" spans="1:6" s="53" customFormat="1">
      <c r="B125" s="52"/>
      <c r="C125" s="52"/>
      <c r="D125" s="52"/>
      <c r="E125" s="52"/>
      <c r="F125" s="52"/>
    </row>
    <row r="126" spans="1:6" s="53" customFormat="1">
      <c r="B126" s="52"/>
      <c r="C126" s="52"/>
      <c r="D126" s="52"/>
      <c r="E126" s="52"/>
      <c r="F126" s="52"/>
    </row>
    <row r="127" spans="1:6" s="53" customFormat="1"/>
  </sheetData>
  <sheetProtection algorithmName="SHA-512" hashValue="dsMT9WGIYmusif3CeLILXS0z0RYi5nMNPnrLWaI0ZShdA6SwCwjXS2bpjsMygSjQtZyHzs5vvC1SSFVGALwEig==" saltValue="8SaACdqLKDgGpoRcxKeZUQ==" spinCount="100000" sheet="1" objects="1" scenarios="1"/>
  <dataValidations count="1">
    <dataValidation type="list" allowBlank="1" showInputMessage="1" showErrorMessage="1" sqref="B41" xr:uid="{00000000-0002-0000-0100-000000000000}">
      <formula1>$C$92:$F$92</formula1>
    </dataValidation>
  </dataValidations>
  <hyperlinks>
    <hyperlink ref="A1" location="Johdanto!A1" display="Johdanto!A1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BE9E-B96A-4E3C-AFF8-9A0ED6C0408D}">
  <sheetPr>
    <tabColor rgb="FF09A981"/>
  </sheetPr>
  <dimension ref="A1:Y56"/>
  <sheetViews>
    <sheetView zoomScale="60" zoomScaleNormal="60" workbookViewId="0">
      <pane ySplit="1" topLeftCell="A2" activePane="bottomLeft" state="frozen"/>
      <selection pane="bottomLeft" activeCell="C24" sqref="C24"/>
    </sheetView>
  </sheetViews>
  <sheetFormatPr defaultColWidth="11" defaultRowHeight="14.45"/>
  <cols>
    <col min="1" max="1" width="15.140625" style="4" customWidth="1"/>
    <col min="2" max="2" width="51.42578125" style="4" customWidth="1"/>
    <col min="3" max="3" width="45.5703125" style="4" customWidth="1"/>
    <col min="4" max="4" width="36.140625" style="4" customWidth="1"/>
    <col min="5" max="5" width="56.42578125" style="4" customWidth="1"/>
    <col min="6" max="6" width="26.5703125" style="4" customWidth="1"/>
    <col min="7" max="7" width="32.5703125" style="4" bestFit="1" customWidth="1"/>
    <col min="8" max="8" width="25.7109375" style="4" customWidth="1"/>
    <col min="9" max="9" width="11" style="4" customWidth="1"/>
    <col min="10" max="10" width="15.7109375" style="4" customWidth="1"/>
    <col min="11" max="12" width="28.42578125" style="4" customWidth="1"/>
    <col min="13" max="13" width="46.140625" style="4" bestFit="1" customWidth="1"/>
    <col min="14" max="15" width="28.42578125" style="4" customWidth="1"/>
    <col min="16" max="16" width="23.140625" style="4" customWidth="1"/>
    <col min="17" max="16384" width="11" style="4"/>
  </cols>
  <sheetData>
    <row r="1" spans="1:7" s="2" customFormat="1" ht="65.25" customHeight="1">
      <c r="A1" s="22" t="s">
        <v>0</v>
      </c>
      <c r="G1" s="23"/>
    </row>
    <row r="2" spans="1:7" s="12" customFormat="1">
      <c r="G2" s="24"/>
    </row>
    <row r="3" spans="1:7" s="12" customFormat="1">
      <c r="G3" s="24"/>
    </row>
    <row r="4" spans="1:7" s="12" customFormat="1">
      <c r="G4" s="24"/>
    </row>
    <row r="5" spans="1:7" s="12" customFormat="1">
      <c r="G5" s="24"/>
    </row>
    <row r="6" spans="1:7" s="12" customFormat="1">
      <c r="G6" s="24"/>
    </row>
    <row r="7" spans="1:7" s="12" customFormat="1">
      <c r="G7" s="24"/>
    </row>
    <row r="8" spans="1:7" s="12" customFormat="1">
      <c r="G8" s="24"/>
    </row>
    <row r="9" spans="1:7" s="12" customFormat="1">
      <c r="G9" s="24"/>
    </row>
    <row r="10" spans="1:7" s="12" customFormat="1">
      <c r="G10" s="24"/>
    </row>
    <row r="11" spans="1:7" s="12" customFormat="1">
      <c r="G11" s="24"/>
    </row>
    <row r="12" spans="1:7" s="12" customFormat="1">
      <c r="G12" s="24"/>
    </row>
    <row r="13" spans="1:7" s="12" customFormat="1">
      <c r="G13" s="24"/>
    </row>
    <row r="14" spans="1:7" s="12" customFormat="1">
      <c r="G14" s="24"/>
    </row>
    <row r="15" spans="1:7" s="12" customFormat="1">
      <c r="G15" s="24"/>
    </row>
    <row r="16" spans="1:7" s="12" customFormat="1">
      <c r="G16" s="24"/>
    </row>
    <row r="17" spans="2:25" ht="45" customHeight="1">
      <c r="G17" s="25"/>
      <c r="L17" s="54"/>
      <c r="M17" s="54"/>
      <c r="N17" s="54"/>
      <c r="O17" s="54"/>
      <c r="P17" s="54"/>
      <c r="Q17" s="54"/>
      <c r="R17" s="54"/>
      <c r="S17" s="54"/>
      <c r="T17" s="54"/>
      <c r="U17" s="54"/>
    </row>
    <row r="18" spans="2:25" ht="103.15" customHeight="1">
      <c r="G18" s="25"/>
      <c r="L18" s="55" t="s">
        <v>22</v>
      </c>
      <c r="M18" s="55" t="s">
        <v>23</v>
      </c>
      <c r="N18" s="55" t="s">
        <v>24</v>
      </c>
      <c r="O18" s="55"/>
      <c r="P18" s="55" t="str" cm="1">
        <f t="array" aca="1" ref="P18:Q23" ca="1">INDIRECT("M18:N"&amp;18+COUNTA(M19:M23)-COUNTIF(M19:M23,""))</f>
        <v>Toimenpiteet</v>
      </c>
      <c r="Q18" s="55" t="str">
        <f ca="1"/>
        <v>Ilmastojalanjälki vuodessa yksikköä kohden</v>
      </c>
      <c r="R18" s="55"/>
      <c r="S18" s="55"/>
      <c r="T18" s="55"/>
      <c r="U18" s="55"/>
      <c r="V18" s="55"/>
      <c r="W18" s="55"/>
      <c r="X18" s="55"/>
      <c r="Y18" s="55"/>
    </row>
    <row r="19" spans="2:25" ht="67.150000000000006" customHeight="1">
      <c r="G19" s="26"/>
      <c r="L19" s="55"/>
      <c r="M19" s="55" t="str">
        <f>'Tietokanta (piilotetaan käytön '!A41</f>
        <v>Ei mitään – uuden ostaminen</v>
      </c>
      <c r="N19" s="139">
        <f>VLOOKUP($C$23&amp;$N$26,Tietojen_perusta,4,FALSE)*VLOOKUP(M19,Toimenpiteet,2,FALSE)/(VLOOKUP($C$23&amp;$N$26,Tietojen_perusta,5,FALSE)+VLOOKUP(M19,Toimenpiteet,3,FALSE))</f>
        <v>74.400000000000006</v>
      </c>
      <c r="O19" s="55"/>
      <c r="P19" s="55" t="str">
        <f ca="1"/>
        <v>Ei mitään – uuden ostaminen</v>
      </c>
      <c r="Q19" s="139">
        <f ca="1"/>
        <v>74.400000000000006</v>
      </c>
      <c r="R19" s="55"/>
      <c r="S19" s="55"/>
      <c r="T19" s="55"/>
      <c r="U19" s="55"/>
      <c r="V19" s="55"/>
      <c r="W19" s="55"/>
      <c r="X19" s="55"/>
      <c r="Y19" s="55"/>
    </row>
    <row r="20" spans="2:25">
      <c r="G20" s="26"/>
      <c r="L20" s="55"/>
      <c r="M20" s="55" t="str">
        <f>'Tietokanta (piilotetaan käytön '!A42</f>
        <v>Uuden ostaminen laajennetulla takuulla</v>
      </c>
      <c r="N20" s="139">
        <f>VLOOKUP($C$23&amp;$N$26,Tietojen_perusta,4,FALSE)*VLOOKUP(M20,Toimenpiteet,2,FALSE)/(VLOOKUP($C$23&amp;$N$26,Tietojen_perusta,5,FALSE)+VLOOKUP(M20,Toimenpiteet,3,FALSE))</f>
        <v>62</v>
      </c>
      <c r="O20" s="55"/>
      <c r="P20" s="55" t="str">
        <f ca="1"/>
        <v>Uuden ostaminen laajennetulla takuulla</v>
      </c>
      <c r="Q20" s="139">
        <f ca="1"/>
        <v>62</v>
      </c>
      <c r="R20" s="55"/>
      <c r="S20" s="55"/>
      <c r="T20" s="55"/>
      <c r="U20" s="55"/>
      <c r="V20" s="55"/>
      <c r="W20" s="55"/>
      <c r="X20" s="55"/>
      <c r="Y20" s="55"/>
    </row>
    <row r="21" spans="2:25">
      <c r="L21" s="55"/>
      <c r="M21" s="55" t="str">
        <f>'Tietokanta (piilotetaan käytön '!A43</f>
        <v>Käytettynä ostaminen</v>
      </c>
      <c r="N21" s="139">
        <f>VLOOKUP($C$23&amp;$N$26,Tietojen_perusta,4,FALSE)*VLOOKUP(M21,Toimenpiteet,2,FALSE)/(VLOOKUP($C$23&amp;$N$26,Tietojen_perusta,5,FALSE)+VLOOKUP(M21,Toimenpiteet,3,FALSE))</f>
        <v>13.95</v>
      </c>
      <c r="O21" s="55"/>
      <c r="P21" s="55" t="str">
        <f ca="1"/>
        <v>Käytettynä ostaminen</v>
      </c>
      <c r="Q21" s="139">
        <f ca="1"/>
        <v>13.95</v>
      </c>
      <c r="R21" s="55"/>
      <c r="S21" s="55"/>
      <c r="T21" s="55"/>
      <c r="U21" s="55"/>
      <c r="V21" s="55"/>
      <c r="W21" s="55"/>
      <c r="X21" s="55"/>
      <c r="Y21" s="55"/>
    </row>
    <row r="22" spans="2:25">
      <c r="L22" s="55"/>
      <c r="M22" s="55" t="str">
        <f>'Tietokanta (piilotetaan käytön '!A44</f>
        <v>Korjaus</v>
      </c>
      <c r="N22" s="139">
        <f>VLOOKUP($C$23&amp;$N$26,Tietojen_perusta,4,FALSE)*VLOOKUP(M22,Toimenpiteet,2,FALSE)/(VLOOKUP($C$23&amp;$N$26,Tietojen_perusta,5,FALSE)+VLOOKUP(M22,Toimenpiteet,3,FALSE))</f>
        <v>15.942857142857141</v>
      </c>
      <c r="O22" s="55"/>
      <c r="P22" s="55" t="str">
        <f ca="1"/>
        <v>Korjaus</v>
      </c>
      <c r="Q22" s="139">
        <f ca="1"/>
        <v>15.942857142857141</v>
      </c>
      <c r="R22" s="55"/>
      <c r="S22" s="55"/>
      <c r="T22" s="55"/>
      <c r="U22" s="55"/>
      <c r="V22" s="55"/>
      <c r="W22" s="55"/>
      <c r="X22" s="55"/>
      <c r="Y22" s="55"/>
    </row>
    <row r="23" spans="2:25" ht="31.15" customHeight="1">
      <c r="B23" s="56" t="s">
        <v>25</v>
      </c>
      <c r="C23" s="16" t="s">
        <v>26</v>
      </c>
      <c r="L23" s="55"/>
      <c r="M23" s="55" t="str">
        <f>'Tietokanta (piilotetaan käytön '!A45</f>
        <v>Sisäinen uudelleenkäyttö</v>
      </c>
      <c r="N23" s="139">
        <f>VLOOKUP($C$23&amp;$N$26,Tietojen_perusta,4,FALSE)*VLOOKUP(M23,Toimenpiteet,2,FALSE)/(VLOOKUP($C$23&amp;$N$26,Tietojen_perusta,5,FALSE)+VLOOKUP(M23,Toimenpiteet,3,FALSE))</f>
        <v>0</v>
      </c>
      <c r="O23" s="55"/>
      <c r="P23" s="55" t="str">
        <f ca="1"/>
        <v>Sisäinen uudelleenkäyttö</v>
      </c>
      <c r="Q23" s="55">
        <f ca="1"/>
        <v>0</v>
      </c>
      <c r="R23" s="55"/>
      <c r="S23" s="55"/>
      <c r="T23" s="55"/>
      <c r="U23" s="55"/>
      <c r="V23" s="55"/>
      <c r="W23" s="55"/>
      <c r="X23" s="55"/>
      <c r="Y23" s="55"/>
    </row>
    <row r="24" spans="2:25" ht="30" customHeight="1">
      <c r="B24" s="56" t="s">
        <v>27</v>
      </c>
      <c r="C24" s="16" t="s">
        <v>28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2:25">
      <c r="L25" s="55"/>
      <c r="M25" s="55" t="s">
        <v>29</v>
      </c>
      <c r="N25" s="55" t="b">
        <f>NOT(ISERROR(VLOOKUP(C23&amp;C24,Tietojen_perusta,2,FALSE)))</f>
        <v>1</v>
      </c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</row>
    <row r="26" spans="2:25" ht="83.25" customHeight="1">
      <c r="B26" s="57"/>
      <c r="C26" s="58" t="s">
        <v>30</v>
      </c>
      <c r="L26" s="55"/>
      <c r="M26" s="55" t="s">
        <v>31</v>
      </c>
      <c r="N26" s="55" t="str">
        <f>IFERROR(VLOOKUP($C$23&amp;$C$24,Tietojen_perusta,3,FALSE),"Keskiarvo")</f>
        <v>Keskiarvo</v>
      </c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</row>
    <row r="27" spans="2:25" ht="21">
      <c r="B27" s="59"/>
      <c r="C27" s="60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</row>
    <row r="28" spans="2:25" ht="21">
      <c r="B28" s="59"/>
      <c r="C28" s="60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</row>
    <row r="29" spans="2:25" ht="54" customHeight="1">
      <c r="C29" s="60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</row>
    <row r="30" spans="2:25" ht="21">
      <c r="B30" s="59"/>
      <c r="C30" s="60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</row>
    <row r="31" spans="2:25" ht="91.15" customHeight="1">
      <c r="B31" s="59"/>
      <c r="C31" s="60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</row>
    <row r="32" spans="2:25" ht="21">
      <c r="B32" s="59"/>
      <c r="C32" s="60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5"/>
    </row>
    <row r="33" spans="2:23" ht="21">
      <c r="B33" s="59"/>
      <c r="C33" s="60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5"/>
      <c r="W33" s="55"/>
    </row>
    <row r="34" spans="2:23" ht="21">
      <c r="B34" s="59"/>
      <c r="C34" s="60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5"/>
      <c r="W34" s="55"/>
    </row>
    <row r="35" spans="2:23" ht="21">
      <c r="B35" s="59"/>
      <c r="C35" s="60"/>
      <c r="L35" s="54"/>
      <c r="M35" s="54"/>
      <c r="N35" s="54"/>
      <c r="O35" s="54"/>
      <c r="P35" s="54"/>
      <c r="Q35" s="54"/>
      <c r="R35" s="54"/>
      <c r="S35" s="54"/>
      <c r="T35" s="54"/>
      <c r="U35" s="54"/>
    </row>
    <row r="36" spans="2:23" ht="21">
      <c r="B36" s="59"/>
      <c r="C36" s="60"/>
      <c r="L36" s="54"/>
      <c r="M36" s="54"/>
      <c r="N36" s="54"/>
      <c r="O36" s="54"/>
      <c r="P36" s="54"/>
      <c r="Q36" s="54"/>
      <c r="R36" s="54"/>
      <c r="S36" s="54"/>
      <c r="T36" s="54"/>
      <c r="U36" s="54"/>
    </row>
    <row r="37" spans="2:23" ht="21">
      <c r="B37" s="59"/>
      <c r="C37" s="60"/>
      <c r="M37" s="54"/>
      <c r="N37" s="54"/>
      <c r="O37" s="54"/>
      <c r="P37" s="54"/>
      <c r="Q37" s="54"/>
      <c r="R37" s="54"/>
      <c r="S37" s="54"/>
      <c r="T37" s="54"/>
      <c r="U37" s="54"/>
    </row>
    <row r="38" spans="2:23" ht="21">
      <c r="B38" s="59"/>
      <c r="C38" s="60"/>
      <c r="L38" s="54"/>
      <c r="M38" s="54"/>
      <c r="N38" s="54"/>
      <c r="O38" s="54"/>
      <c r="P38" s="54"/>
      <c r="Q38" s="54"/>
      <c r="R38" s="54"/>
      <c r="S38" s="54"/>
      <c r="T38" s="54"/>
      <c r="U38" s="54"/>
    </row>
    <row r="39" spans="2:23" ht="21">
      <c r="B39" s="59"/>
      <c r="C39" s="60"/>
    </row>
    <row r="40" spans="2:23" ht="21">
      <c r="B40" s="59"/>
      <c r="C40" s="60"/>
    </row>
    <row r="41" spans="2:23" ht="21">
      <c r="B41" s="59"/>
      <c r="C41" s="60"/>
    </row>
    <row r="42" spans="2:23" ht="21">
      <c r="B42" s="59"/>
      <c r="C42" s="60"/>
    </row>
    <row r="43" spans="2:23" ht="21">
      <c r="B43" s="59"/>
      <c r="C43" s="60"/>
    </row>
    <row r="44" spans="2:23" ht="21">
      <c r="B44" s="59"/>
      <c r="C44" s="60"/>
    </row>
    <row r="45" spans="2:23" ht="21">
      <c r="B45" s="59"/>
      <c r="C45" s="60"/>
    </row>
    <row r="46" spans="2:23" ht="21">
      <c r="B46" s="59"/>
      <c r="C46" s="60"/>
    </row>
    <row r="47" spans="2:23" ht="21">
      <c r="B47" s="59"/>
      <c r="C47" s="60"/>
    </row>
    <row r="48" spans="2:23" ht="21">
      <c r="B48" s="59"/>
      <c r="C48" s="60"/>
    </row>
    <row r="49" spans="2:3" ht="21">
      <c r="B49" s="59"/>
      <c r="C49" s="60"/>
    </row>
    <row r="50" spans="2:3" ht="21">
      <c r="B50" s="59"/>
      <c r="C50" s="60"/>
    </row>
    <row r="51" spans="2:3" ht="21">
      <c r="B51" s="59"/>
      <c r="C51" s="60"/>
    </row>
    <row r="52" spans="2:3" ht="21">
      <c r="B52" s="59"/>
      <c r="C52" s="60"/>
    </row>
    <row r="53" spans="2:3" ht="21">
      <c r="B53" s="59"/>
      <c r="C53" s="60"/>
    </row>
    <row r="54" spans="2:3" ht="21">
      <c r="B54" s="59"/>
      <c r="C54" s="60"/>
    </row>
    <row r="55" spans="2:3" ht="21">
      <c r="B55" s="59"/>
      <c r="C55" s="60"/>
    </row>
    <row r="56" spans="2:3" ht="21">
      <c r="B56" s="59"/>
      <c r="C56" s="60"/>
    </row>
  </sheetData>
  <sheetProtection algorithmName="SHA-512" hashValue="QbLZ+6IR7Q1Wj0stGjrcCujMIE6rROqll4/OhxSQCKG6KPfKsv83b2Fh242mJgf7i+uPyikU59ZO3EW4FxY9lg==" saltValue="x+TlDPxdIhqmezGJx6tKqw==" spinCount="100000" sheet="1" objects="1" scenarios="1"/>
  <conditionalFormatting sqref="C26">
    <cfRule type="expression" dxfId="2" priority="3">
      <formula>N25</formula>
    </cfRule>
  </conditionalFormatting>
  <dataValidations count="2">
    <dataValidation type="list" allowBlank="1" showInputMessage="1" showErrorMessage="1" sqref="C23" xr:uid="{00000000-0002-0000-0200-000000000000}">
      <formula1>Pääluokka</formula1>
    </dataValidation>
    <dataValidation type="list" allowBlank="1" showInputMessage="1" showErrorMessage="1" sqref="C24" xr:uid="{00000000-0002-0000-0200-000001000000}">
      <formula1>INDIRECT(C23)</formula1>
    </dataValidation>
  </dataValidations>
  <hyperlinks>
    <hyperlink ref="A1" location="Johdanto!A1" display="Johdanto!A1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2EACF-4DD0-4CD3-A936-0B0FBE71787E}">
  <sheetPr>
    <tabColor rgb="FF09A981"/>
  </sheetPr>
  <dimension ref="A1:DJ521"/>
  <sheetViews>
    <sheetView zoomScale="60" zoomScaleNormal="60" workbookViewId="0">
      <pane ySplit="1" topLeftCell="A2" activePane="bottomLeft" state="frozen"/>
      <selection pane="bottomLeft" activeCell="H37" sqref="H37"/>
    </sheetView>
  </sheetViews>
  <sheetFormatPr defaultColWidth="11" defaultRowHeight="14.45"/>
  <cols>
    <col min="1" max="1" width="15.140625" customWidth="1"/>
    <col min="2" max="2" width="78.7109375" customWidth="1"/>
    <col min="3" max="4" width="41" customWidth="1"/>
    <col min="5" max="5" width="67.28515625" customWidth="1"/>
    <col min="6" max="6" width="57.140625" bestFit="1" customWidth="1"/>
    <col min="7" max="7" width="42.7109375" customWidth="1"/>
    <col min="8" max="8" width="48.85546875" customWidth="1"/>
    <col min="9" max="10" width="17.42578125" customWidth="1"/>
    <col min="11" max="11" width="12.5703125" customWidth="1"/>
    <col min="12" max="12" width="29.7109375" customWidth="1"/>
    <col min="13" max="13" width="34.140625" customWidth="1"/>
    <col min="14" max="14" width="41" customWidth="1"/>
    <col min="15" max="15" width="44.42578125" bestFit="1" customWidth="1"/>
    <col min="16" max="16" width="77.42578125" bestFit="1" customWidth="1"/>
    <col min="17" max="17" width="40.5703125" bestFit="1" customWidth="1"/>
    <col min="18" max="18" width="39.7109375" bestFit="1" customWidth="1"/>
    <col min="19" max="19" width="26.7109375" customWidth="1"/>
    <col min="20" max="20" width="30.5703125" bestFit="1" customWidth="1"/>
    <col min="21" max="21" width="39.28515625" bestFit="1" customWidth="1"/>
    <col min="22" max="22" width="38.28515625" bestFit="1" customWidth="1"/>
    <col min="23" max="23" width="29.85546875" bestFit="1" customWidth="1"/>
    <col min="24" max="24" width="29.140625" bestFit="1" customWidth="1"/>
    <col min="25" max="25" width="47.42578125" bestFit="1" customWidth="1"/>
    <col min="26" max="26" width="48.28515625" bestFit="1" customWidth="1"/>
    <col min="27" max="27" width="40.7109375" bestFit="1" customWidth="1"/>
    <col min="28" max="28" width="47.42578125" bestFit="1" customWidth="1"/>
    <col min="29" max="29" width="51.28515625" bestFit="1" customWidth="1"/>
    <col min="30" max="30" width="46.5703125" bestFit="1" customWidth="1"/>
  </cols>
  <sheetData>
    <row r="1" spans="1:8" s="2" customFormat="1" ht="65.25" customHeight="1">
      <c r="A1" s="22" t="s">
        <v>0</v>
      </c>
    </row>
    <row r="2" spans="1:8" s="61" customFormat="1">
      <c r="G2" s="62"/>
      <c r="H2" s="62"/>
    </row>
    <row r="3" spans="1:8" s="12" customFormat="1">
      <c r="G3" s="24"/>
      <c r="H3" s="24"/>
    </row>
    <row r="4" spans="1:8" s="12" customFormat="1">
      <c r="G4" s="24"/>
      <c r="H4" s="24"/>
    </row>
    <row r="5" spans="1:8" s="12" customFormat="1">
      <c r="G5" s="24"/>
      <c r="H5" s="24"/>
    </row>
    <row r="6" spans="1:8" s="12" customFormat="1">
      <c r="G6" s="24"/>
      <c r="H6" s="24"/>
    </row>
    <row r="7" spans="1:8" s="12" customFormat="1">
      <c r="G7" s="24"/>
      <c r="H7" s="24"/>
    </row>
    <row r="8" spans="1:8" s="12" customFormat="1">
      <c r="G8" s="24"/>
      <c r="H8" s="24"/>
    </row>
    <row r="9" spans="1:8" s="12" customFormat="1">
      <c r="G9" s="24"/>
      <c r="H9" s="24"/>
    </row>
    <row r="10" spans="1:8" s="12" customFormat="1">
      <c r="G10" s="24"/>
      <c r="H10" s="24"/>
    </row>
    <row r="11" spans="1:8" s="12" customFormat="1">
      <c r="G11" s="24"/>
      <c r="H11" s="24"/>
    </row>
    <row r="12" spans="1:8" s="12" customFormat="1">
      <c r="G12" s="24"/>
      <c r="H12" s="24"/>
    </row>
    <row r="13" spans="1:8" s="12" customFormat="1">
      <c r="G13" s="24"/>
      <c r="H13" s="24"/>
    </row>
    <row r="14" spans="1:8" s="12" customFormat="1">
      <c r="G14" s="24"/>
      <c r="H14" s="24"/>
    </row>
    <row r="15" spans="1:8" s="12" customFormat="1">
      <c r="G15" s="24"/>
      <c r="H15" s="24"/>
    </row>
    <row r="16" spans="1:8" s="12" customFormat="1">
      <c r="G16" s="24"/>
      <c r="H16" s="24"/>
    </row>
    <row r="17" spans="1:30" s="12" customFormat="1">
      <c r="G17" s="24"/>
      <c r="H17" s="24"/>
    </row>
    <row r="18" spans="1:30" s="4" customFormat="1" ht="38.25" customHeight="1">
      <c r="A18" s="26"/>
      <c r="B18" s="63"/>
    </row>
    <row r="19" spans="1:30" s="4" customFormat="1" ht="32.25" customHeight="1">
      <c r="A19" s="26"/>
    </row>
    <row r="20" spans="1:30" s="4" customFormat="1" ht="34.15" customHeight="1">
      <c r="A20" s="26"/>
      <c r="B20" s="63"/>
    </row>
    <row r="21" spans="1:30" s="4" customFormat="1"/>
    <row r="22" spans="1:30" s="4" customFormat="1"/>
    <row r="23" spans="1:30" s="4" customFormat="1"/>
    <row r="24" spans="1:30" s="4" customFormat="1"/>
    <row r="25" spans="1:30" s="4" customFormat="1" ht="21">
      <c r="K25" s="64" t="s">
        <v>32</v>
      </c>
      <c r="L25" s="65"/>
      <c r="M25" s="65"/>
    </row>
    <row r="26" spans="1:30" s="4" customFormat="1" ht="21">
      <c r="K26" s="66"/>
      <c r="L26" s="65"/>
      <c r="M26" s="65"/>
    </row>
    <row r="27" spans="1:30" s="4" customFormat="1" ht="238.15" customHeight="1">
      <c r="K27" s="66"/>
      <c r="L27" s="65"/>
      <c r="M27" s="65"/>
    </row>
    <row r="28" spans="1:30" s="4" customFormat="1" ht="31.15" customHeight="1"/>
    <row r="29" spans="1:30" s="29" customFormat="1" ht="26.25" customHeight="1"/>
    <row r="30" spans="1:30" s="29" customFormat="1" ht="76.150000000000006" customHeight="1"/>
    <row r="31" spans="1:30" s="29" customFormat="1" ht="30" customHeight="1">
      <c r="D31" s="67"/>
    </row>
    <row r="32" spans="1:30" s="29" customFormat="1" ht="30" customHeight="1">
      <c r="B32" s="68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</row>
    <row r="33" spans="1:59" s="29" customFormat="1" ht="30" customHeight="1">
      <c r="E33" s="69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</row>
    <row r="34" spans="1:59" s="29" customFormat="1" ht="30" customHeight="1"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</row>
    <row r="35" spans="1:59" s="29" customFormat="1" ht="118.15" customHeight="1"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150"/>
      <c r="AT35" s="150"/>
      <c r="AU35" s="105"/>
      <c r="AV35" s="105"/>
      <c r="AW35" s="105"/>
      <c r="AX35" s="105"/>
      <c r="AY35" s="105"/>
      <c r="AZ35" s="105"/>
      <c r="BA35" s="87"/>
      <c r="BB35" s="87"/>
      <c r="BC35" s="87"/>
      <c r="BD35" s="87"/>
      <c r="BE35" s="87"/>
      <c r="BF35" s="87"/>
      <c r="BG35" s="87"/>
    </row>
    <row r="36" spans="1:59" s="29" customFormat="1" ht="21">
      <c r="B36" s="70"/>
      <c r="C36" s="71" t="s">
        <v>33</v>
      </c>
      <c r="D36" s="70"/>
      <c r="E36" s="70"/>
      <c r="G36" s="70"/>
      <c r="H36" s="70"/>
      <c r="I36" s="138"/>
      <c r="J36" s="138"/>
      <c r="K36" s="138"/>
      <c r="L36" s="72" t="s">
        <v>34</v>
      </c>
      <c r="M36" s="73"/>
      <c r="P36" s="87"/>
      <c r="Q36" s="87"/>
      <c r="R36" s="116" t="str">
        <f>L37</f>
        <v>Fotavtrykk, Totalt [kg CO2-ekv]</v>
      </c>
      <c r="S36" s="116"/>
      <c r="T36" s="116" t="str">
        <f>M37</f>
        <v>Kustannus, yhteensä [NOK]</v>
      </c>
      <c r="U36" s="116"/>
      <c r="V36" s="116" t="str">
        <f>N37</f>
        <v>Fotavtrykk, Årlig [kg CO2-ekv]</v>
      </c>
      <c r="W36" s="116"/>
      <c r="X36" s="116" t="str">
        <f>O37</f>
        <v>Kustannus, vuosittainen [NOK]</v>
      </c>
      <c r="Y36" s="117"/>
      <c r="Z36" s="117" t="s">
        <v>35</v>
      </c>
      <c r="AA36" s="117" t="str">
        <f>B108</f>
        <v>Jalanjälki, yhteensä [kg CO2-ekv]</v>
      </c>
      <c r="AB36" s="87"/>
      <c r="AC36" s="87"/>
      <c r="AD36" s="117"/>
      <c r="AE36" s="11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150"/>
      <c r="AT36" s="150"/>
      <c r="AU36" s="105"/>
      <c r="AV36" s="105"/>
      <c r="AW36" s="105"/>
      <c r="AX36" s="105"/>
      <c r="AY36" s="105"/>
      <c r="AZ36" s="105"/>
      <c r="BA36" s="87"/>
      <c r="BB36" s="87"/>
      <c r="BC36" s="87"/>
      <c r="BD36" s="87"/>
      <c r="BE36" s="87"/>
      <c r="BF36" s="87"/>
      <c r="BG36" s="87"/>
    </row>
    <row r="37" spans="1:59" s="29" customFormat="1" ht="109.15" customHeight="1">
      <c r="A37" s="74"/>
      <c r="B37" s="75" t="s">
        <v>36</v>
      </c>
      <c r="C37" s="75" t="s">
        <v>37</v>
      </c>
      <c r="D37" s="75" t="s">
        <v>38</v>
      </c>
      <c r="E37" s="75" t="s">
        <v>39</v>
      </c>
      <c r="F37" s="76" t="s">
        <v>40</v>
      </c>
      <c r="G37" s="76" t="s">
        <v>41</v>
      </c>
      <c r="H37" s="75" t="s">
        <v>42</v>
      </c>
      <c r="I37" s="82" t="s">
        <v>43</v>
      </c>
      <c r="J37" s="82" t="s">
        <v>44</v>
      </c>
      <c r="K37" s="82" t="s">
        <v>45</v>
      </c>
      <c r="L37" s="77" t="s">
        <v>46</v>
      </c>
      <c r="M37" s="114" t="s">
        <v>47</v>
      </c>
      <c r="N37" s="77" t="s">
        <v>48</v>
      </c>
      <c r="O37" s="114" t="s">
        <v>49</v>
      </c>
      <c r="P37" s="118" t="s">
        <v>50</v>
      </c>
      <c r="Q37" s="87" t="s">
        <v>51</v>
      </c>
      <c r="R37" s="119" t="s">
        <v>52</v>
      </c>
      <c r="S37" s="119" t="s">
        <v>53</v>
      </c>
      <c r="T37" s="87" t="s">
        <v>54</v>
      </c>
      <c r="U37" s="87" t="s">
        <v>55</v>
      </c>
      <c r="V37" s="87" t="s">
        <v>56</v>
      </c>
      <c r="W37" s="119" t="s">
        <v>57</v>
      </c>
      <c r="X37" s="119" t="s">
        <v>58</v>
      </c>
      <c r="Y37" s="117" t="str">
        <f>P37</f>
        <v>Hankinta</v>
      </c>
      <c r="Z37" s="117" t="str">
        <f>AA36&amp;" Ilman toimenpiteitä"</f>
        <v>Jalanjälki, yhteensä [kg CO2-ekv] Ilman toimenpiteitä</v>
      </c>
      <c r="AA37" s="117" t="str">
        <f>AA36&amp;" Toimenpiteillä"</f>
        <v>Jalanjälki, yhteensä [kg CO2-ekv] Toimenpiteillä</v>
      </c>
      <c r="AB37" s="117" t="str" cm="1">
        <f t="array" aca="1" ref="AB37:AD37" ca="1">INDIRECT("Y37:AA"&amp;36+COUNTA(P37:P51)-COUNTIF(P37:P51,""))</f>
        <v>Hankinta</v>
      </c>
      <c r="AC37" s="117" t="str">
        <f ca="1"/>
        <v>Jalanjälki, yhteensä [kg CO2-ekv] Ilman toimenpiteitä</v>
      </c>
      <c r="AD37" s="117" t="str">
        <f ca="1"/>
        <v>Jalanjälki, yhteensä [kg CO2-ekv] Toimenpiteillä</v>
      </c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150"/>
      <c r="AT37" s="150"/>
      <c r="AU37" s="105"/>
      <c r="AV37" s="105"/>
      <c r="AW37" s="105"/>
      <c r="AX37" s="105"/>
      <c r="AY37" s="105"/>
      <c r="AZ37" s="105"/>
      <c r="BA37" s="87"/>
      <c r="BB37" s="87"/>
      <c r="BC37" s="87"/>
      <c r="BD37" s="87"/>
      <c r="BE37" s="87"/>
      <c r="BF37" s="87"/>
      <c r="BG37" s="87"/>
    </row>
    <row r="38" spans="1:59" s="29" customFormat="1" ht="30" customHeight="1">
      <c r="B38" s="9"/>
      <c r="C38" s="9"/>
      <c r="D38" s="9"/>
      <c r="E38" s="9"/>
      <c r="F38" s="8"/>
      <c r="G38" s="8"/>
      <c r="H38" s="78" t="str">
        <f t="shared" ref="H38:H51" si="0">IF(K38,ROUND(VLOOKUP(I38,Tietojen_perusta,6,FALSE)*VLOOKUP(E38,Toimenpiteet,4,FALSE),0),"")</f>
        <v/>
      </c>
      <c r="I38" s="82" t="str">
        <f t="shared" ref="I38:I51" si="1">B38&amp;C38</f>
        <v/>
      </c>
      <c r="J38" s="115" t="b">
        <f t="shared" ref="J38:J51" si="2">OR(NOT(ISERROR(VLOOKUP(I38,Tietojen_perusta,1,FALSE))),I38="")</f>
        <v>1</v>
      </c>
      <c r="K38" s="83" t="b">
        <f>NOT(OR(ISBLANK(B38),ISBLANK(C38),ISBLANK(D38),ISBLANK(E38),NOT(J38)))</f>
        <v>0</v>
      </c>
      <c r="L38" s="79" t="str">
        <f t="shared" ref="L38:L51" si="3">IF(K38,ROUND(D38*VLOOKUP(I38,Tietojen_perusta,4,FALSE)*VLOOKUP(E38,Toimenpiteet,2,FALSE),0),"")</f>
        <v/>
      </c>
      <c r="M38" s="80" t="str">
        <f t="shared" ref="M38:M51" si="4">IF(K38,IF(ISBLANK(F38),H38,F38)*D38,"")</f>
        <v/>
      </c>
      <c r="N38" s="80" t="str">
        <f t="shared" ref="N38:N51" si="5">IF(K38,ROUND(L38/IF(ISBLANK(G38),VLOOKUP(I38,Tietojen_perusta,5,FALSE)+VLOOKUP(E38,Toimenpiteet,3,FALSE),G38),0),"")</f>
        <v/>
      </c>
      <c r="O38" s="80" t="str">
        <f t="shared" ref="O38:O51" si="6">IF(K38,ROUND(M38/IF(ISBLANK(G38),VLOOKUP(I38,Tietojen_perusta,5,FALSE)+VLOOKUP(E38,Toimenpiteet,3,FALSE),G38),0),"")</f>
        <v/>
      </c>
      <c r="P38" s="120" t="str">
        <f t="shared" ref="P38:P51" si="7">IF(K38,B38&amp;" ("&amp;C38&amp;") "&amp;CHAR(10)&amp;E38,"")</f>
        <v/>
      </c>
      <c r="Q38" s="121" t="str">
        <f t="shared" ref="Q38:Q51" si="8">IF(K38,ROUND(D38*VLOOKUP(I38,Tietojen_perusta,4,FALSE),0),"")</f>
        <v/>
      </c>
      <c r="R38" s="122" t="str">
        <f>L38</f>
        <v/>
      </c>
      <c r="S38" s="121" t="str">
        <f t="shared" ref="S38:S51" si="9">IF(K38,D38*VLOOKUP(I38,Tietojen_perusta,6,FALSE),"")</f>
        <v/>
      </c>
      <c r="T38" s="123" t="str">
        <f>M38</f>
        <v/>
      </c>
      <c r="U38" s="124" t="str">
        <f t="shared" ref="U38:U51" si="10">IF(K38,ROUND(Q38/VLOOKUP(I38,Tietojen_perusta,5,FALSE),0),"")</f>
        <v/>
      </c>
      <c r="V38" s="121" t="str">
        <f>N38</f>
        <v/>
      </c>
      <c r="W38" s="124" t="str">
        <f t="shared" ref="W38:W51" si="11">IF(K38,ROUND(S38/VLOOKUP(I38,Tietojen_perusta,5,FALSE),0),"")</f>
        <v/>
      </c>
      <c r="X38" s="124" t="str">
        <f>O38</f>
        <v/>
      </c>
      <c r="Y38" s="117" t="str">
        <f t="shared" ref="Y38:Y51" si="12">P38</f>
        <v/>
      </c>
      <c r="Z38" s="124" t="str">
        <f>HLOOKUP($Z$37,$Q$37:$X$51,2,FALSE)</f>
        <v/>
      </c>
      <c r="AA38" s="124" t="str">
        <f>HLOOKUP($AA$37,$Q$37:$X$51,2,FALSE)</f>
        <v/>
      </c>
      <c r="AB38" s="124"/>
      <c r="AC38" s="124"/>
      <c r="AD38" s="124"/>
      <c r="AE38" s="121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150"/>
      <c r="AT38" s="150"/>
      <c r="AU38" s="105"/>
      <c r="AV38" s="105"/>
      <c r="AW38" s="105"/>
      <c r="AX38" s="105"/>
      <c r="AY38" s="105"/>
      <c r="AZ38" s="105"/>
      <c r="BA38" s="87"/>
      <c r="BB38" s="87"/>
      <c r="BC38" s="87"/>
      <c r="BD38" s="87"/>
      <c r="BE38" s="87"/>
      <c r="BF38" s="87"/>
      <c r="BG38" s="87"/>
    </row>
    <row r="39" spans="1:59" s="29" customFormat="1" ht="30" customHeight="1">
      <c r="B39" s="9"/>
      <c r="C39" s="9"/>
      <c r="D39" s="9"/>
      <c r="E39" s="9"/>
      <c r="F39" s="8"/>
      <c r="G39" s="8"/>
      <c r="H39" s="78" t="str">
        <f t="shared" si="0"/>
        <v/>
      </c>
      <c r="I39" s="82" t="str">
        <f t="shared" si="1"/>
        <v/>
      </c>
      <c r="J39" s="115" t="b">
        <f t="shared" si="2"/>
        <v>1</v>
      </c>
      <c r="K39" s="83" t="b">
        <f t="shared" ref="K39:K51" si="13">NOT(OR(ISBLANK(B39),ISBLANK(C39),ISBLANK(D39),ISBLANK(E39),NOT(J39)))</f>
        <v>0</v>
      </c>
      <c r="L39" s="79" t="str">
        <f t="shared" si="3"/>
        <v/>
      </c>
      <c r="M39" s="80" t="str">
        <f t="shared" si="4"/>
        <v/>
      </c>
      <c r="N39" s="80" t="str">
        <f t="shared" si="5"/>
        <v/>
      </c>
      <c r="O39" s="80" t="str">
        <f t="shared" si="6"/>
        <v/>
      </c>
      <c r="P39" s="120" t="str">
        <f t="shared" si="7"/>
        <v/>
      </c>
      <c r="Q39" s="121" t="str">
        <f t="shared" si="8"/>
        <v/>
      </c>
      <c r="R39" s="121" t="str">
        <f t="shared" ref="R39:R51" si="14">L39</f>
        <v/>
      </c>
      <c r="S39" s="121" t="str">
        <f t="shared" si="9"/>
        <v/>
      </c>
      <c r="T39" s="123" t="str">
        <f t="shared" ref="T39:T51" si="15">M39</f>
        <v/>
      </c>
      <c r="U39" s="124" t="str">
        <f t="shared" si="10"/>
        <v/>
      </c>
      <c r="V39" s="121" t="str">
        <f t="shared" ref="V39:V50" si="16">N39</f>
        <v/>
      </c>
      <c r="W39" s="124" t="str">
        <f t="shared" si="11"/>
        <v/>
      </c>
      <c r="X39" s="124" t="str">
        <f t="shared" ref="X39:X51" si="17">O39</f>
        <v/>
      </c>
      <c r="Y39" s="117" t="str">
        <f t="shared" si="12"/>
        <v/>
      </c>
      <c r="Z39" s="124" t="str">
        <f>HLOOKUP($Z$37,$Q$37:$X$51,3,FALSE)</f>
        <v/>
      </c>
      <c r="AA39" s="124" t="str">
        <f>HLOOKUP($AA$37,$Q$37:$X$51,3,FALSE)</f>
        <v/>
      </c>
      <c r="AB39" s="124"/>
      <c r="AC39" s="124"/>
      <c r="AD39" s="124"/>
      <c r="AE39" s="121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150"/>
      <c r="AT39" s="150"/>
      <c r="AU39" s="105"/>
      <c r="AV39" s="105"/>
      <c r="AW39" s="105"/>
      <c r="AX39" s="105"/>
      <c r="AY39" s="105"/>
      <c r="AZ39" s="105"/>
      <c r="BA39" s="87"/>
      <c r="BB39" s="87"/>
      <c r="BC39" s="87"/>
      <c r="BD39" s="87"/>
      <c r="BE39" s="87"/>
      <c r="BF39" s="87"/>
      <c r="BG39" s="87"/>
    </row>
    <row r="40" spans="1:59" s="29" customFormat="1" ht="30" customHeight="1">
      <c r="B40" s="9"/>
      <c r="C40" s="9"/>
      <c r="D40" s="9"/>
      <c r="E40" s="9"/>
      <c r="F40" s="8"/>
      <c r="G40" s="8"/>
      <c r="H40" s="78" t="str">
        <f t="shared" si="0"/>
        <v/>
      </c>
      <c r="I40" s="82" t="str">
        <f t="shared" si="1"/>
        <v/>
      </c>
      <c r="J40" s="115" t="b">
        <f t="shared" si="2"/>
        <v>1</v>
      </c>
      <c r="K40" s="83" t="b">
        <f t="shared" si="13"/>
        <v>0</v>
      </c>
      <c r="L40" s="79" t="str">
        <f t="shared" si="3"/>
        <v/>
      </c>
      <c r="M40" s="80" t="str">
        <f t="shared" si="4"/>
        <v/>
      </c>
      <c r="N40" s="80" t="str">
        <f t="shared" si="5"/>
        <v/>
      </c>
      <c r="O40" s="80" t="str">
        <f t="shared" si="6"/>
        <v/>
      </c>
      <c r="P40" s="120" t="str">
        <f t="shared" si="7"/>
        <v/>
      </c>
      <c r="Q40" s="121" t="str">
        <f t="shared" si="8"/>
        <v/>
      </c>
      <c r="R40" s="121" t="str">
        <f t="shared" si="14"/>
        <v/>
      </c>
      <c r="S40" s="121" t="str">
        <f t="shared" si="9"/>
        <v/>
      </c>
      <c r="T40" s="123" t="str">
        <f t="shared" si="15"/>
        <v/>
      </c>
      <c r="U40" s="124" t="str">
        <f t="shared" si="10"/>
        <v/>
      </c>
      <c r="V40" s="121" t="str">
        <f t="shared" si="16"/>
        <v/>
      </c>
      <c r="W40" s="124" t="str">
        <f t="shared" si="11"/>
        <v/>
      </c>
      <c r="X40" s="124" t="str">
        <f t="shared" si="17"/>
        <v/>
      </c>
      <c r="Y40" s="117" t="str">
        <f t="shared" si="12"/>
        <v/>
      </c>
      <c r="Z40" s="124" t="str">
        <f>HLOOKUP($Z$37,$Q$37:$X$51,4,FALSE)</f>
        <v/>
      </c>
      <c r="AA40" s="124" t="str">
        <f>HLOOKUP($AA$37,$Q$37:$X$51,4,FALSE)</f>
        <v/>
      </c>
      <c r="AB40" s="121"/>
      <c r="AC40" s="121"/>
      <c r="AD40" s="121"/>
      <c r="AE40" s="121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150"/>
      <c r="AT40" s="150"/>
      <c r="AU40" s="105"/>
      <c r="AV40" s="105"/>
      <c r="AW40" s="105"/>
      <c r="AX40" s="105"/>
      <c r="AY40" s="105"/>
      <c r="AZ40" s="105"/>
      <c r="BA40" s="87"/>
      <c r="BB40" s="87"/>
      <c r="BC40" s="87"/>
      <c r="BD40" s="87"/>
      <c r="BE40" s="87"/>
      <c r="BF40" s="87"/>
      <c r="BG40" s="87"/>
    </row>
    <row r="41" spans="1:59" s="29" customFormat="1" ht="30" customHeight="1">
      <c r="B41" s="9"/>
      <c r="C41" s="9"/>
      <c r="D41" s="9"/>
      <c r="E41" s="9"/>
      <c r="F41" s="8"/>
      <c r="G41" s="8"/>
      <c r="H41" s="78" t="str">
        <f t="shared" si="0"/>
        <v/>
      </c>
      <c r="I41" s="82" t="str">
        <f t="shared" si="1"/>
        <v/>
      </c>
      <c r="J41" s="115" t="b">
        <f t="shared" si="2"/>
        <v>1</v>
      </c>
      <c r="K41" s="83" t="b">
        <f t="shared" si="13"/>
        <v>0</v>
      </c>
      <c r="L41" s="79" t="str">
        <f t="shared" si="3"/>
        <v/>
      </c>
      <c r="M41" s="80" t="str">
        <f t="shared" si="4"/>
        <v/>
      </c>
      <c r="N41" s="80" t="str">
        <f t="shared" si="5"/>
        <v/>
      </c>
      <c r="O41" s="80" t="str">
        <f t="shared" si="6"/>
        <v/>
      </c>
      <c r="P41" s="120" t="str">
        <f t="shared" si="7"/>
        <v/>
      </c>
      <c r="Q41" s="121" t="str">
        <f t="shared" si="8"/>
        <v/>
      </c>
      <c r="R41" s="121" t="str">
        <f t="shared" si="14"/>
        <v/>
      </c>
      <c r="S41" s="121" t="str">
        <f t="shared" si="9"/>
        <v/>
      </c>
      <c r="T41" s="123" t="str">
        <f t="shared" si="15"/>
        <v/>
      </c>
      <c r="U41" s="124" t="str">
        <f t="shared" si="10"/>
        <v/>
      </c>
      <c r="V41" s="121" t="str">
        <f t="shared" si="16"/>
        <v/>
      </c>
      <c r="W41" s="124" t="str">
        <f t="shared" si="11"/>
        <v/>
      </c>
      <c r="X41" s="124" t="str">
        <f t="shared" si="17"/>
        <v/>
      </c>
      <c r="Y41" s="117" t="str">
        <f t="shared" si="12"/>
        <v/>
      </c>
      <c r="Z41" s="124" t="str">
        <f>HLOOKUP($Z$37,$Q$37:$X$51,5,FALSE)</f>
        <v/>
      </c>
      <c r="AA41" s="124" t="str">
        <f>HLOOKUP($AA$37,$Q$37:$X$51,5,FALSE)</f>
        <v/>
      </c>
      <c r="AB41" s="121"/>
      <c r="AC41" s="121"/>
      <c r="AD41" s="121"/>
      <c r="AE41" s="121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150"/>
      <c r="AT41" s="150"/>
      <c r="AU41" s="105"/>
      <c r="AV41" s="105"/>
      <c r="AW41" s="105"/>
      <c r="AX41" s="105"/>
      <c r="AY41" s="105"/>
      <c r="AZ41" s="105"/>
      <c r="BA41" s="87"/>
      <c r="BB41" s="87"/>
      <c r="BC41" s="87"/>
      <c r="BD41" s="87"/>
      <c r="BE41" s="87"/>
      <c r="BF41" s="87"/>
      <c r="BG41" s="87"/>
    </row>
    <row r="42" spans="1:59" s="29" customFormat="1" ht="30" customHeight="1">
      <c r="B42" s="9"/>
      <c r="C42" s="9"/>
      <c r="D42" s="9"/>
      <c r="E42" s="9"/>
      <c r="F42" s="8"/>
      <c r="G42" s="8"/>
      <c r="H42" s="78" t="str">
        <f t="shared" si="0"/>
        <v/>
      </c>
      <c r="I42" s="82" t="str">
        <f t="shared" si="1"/>
        <v/>
      </c>
      <c r="J42" s="115" t="b">
        <f t="shared" si="2"/>
        <v>1</v>
      </c>
      <c r="K42" s="83" t="b">
        <f t="shared" si="13"/>
        <v>0</v>
      </c>
      <c r="L42" s="79" t="str">
        <f t="shared" si="3"/>
        <v/>
      </c>
      <c r="M42" s="80" t="str">
        <f t="shared" si="4"/>
        <v/>
      </c>
      <c r="N42" s="80" t="str">
        <f t="shared" si="5"/>
        <v/>
      </c>
      <c r="O42" s="80" t="str">
        <f t="shared" si="6"/>
        <v/>
      </c>
      <c r="P42" s="120" t="str">
        <f t="shared" si="7"/>
        <v/>
      </c>
      <c r="Q42" s="121" t="str">
        <f t="shared" si="8"/>
        <v/>
      </c>
      <c r="R42" s="121" t="str">
        <f t="shared" si="14"/>
        <v/>
      </c>
      <c r="S42" s="121" t="str">
        <f t="shared" si="9"/>
        <v/>
      </c>
      <c r="T42" s="123" t="str">
        <f t="shared" si="15"/>
        <v/>
      </c>
      <c r="U42" s="124" t="str">
        <f t="shared" si="10"/>
        <v/>
      </c>
      <c r="V42" s="121" t="str">
        <f t="shared" si="16"/>
        <v/>
      </c>
      <c r="W42" s="124" t="str">
        <f t="shared" si="11"/>
        <v/>
      </c>
      <c r="X42" s="124" t="str">
        <f t="shared" si="17"/>
        <v/>
      </c>
      <c r="Y42" s="117" t="str">
        <f t="shared" si="12"/>
        <v/>
      </c>
      <c r="Z42" s="124" t="str">
        <f>HLOOKUP($Z$37,$Q$37:$X$51,6,FALSE)</f>
        <v/>
      </c>
      <c r="AA42" s="124" t="str">
        <f>HLOOKUP($AA$37,$Q$37:$X$51,6,FALSE)</f>
        <v/>
      </c>
      <c r="AB42" s="121"/>
      <c r="AC42" s="121"/>
      <c r="AD42" s="121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150"/>
      <c r="AT42" s="150"/>
      <c r="AU42" s="105"/>
      <c r="AV42" s="105"/>
      <c r="AW42" s="105"/>
      <c r="AX42" s="105"/>
      <c r="AY42" s="105"/>
      <c r="AZ42" s="105"/>
      <c r="BA42" s="87"/>
      <c r="BB42" s="87"/>
      <c r="BC42" s="87"/>
      <c r="BD42" s="87"/>
      <c r="BE42" s="87"/>
      <c r="BF42" s="87"/>
      <c r="BG42" s="87"/>
    </row>
    <row r="43" spans="1:59" s="29" customFormat="1" ht="30" customHeight="1">
      <c r="B43" s="9"/>
      <c r="C43" s="9"/>
      <c r="D43" s="9"/>
      <c r="E43" s="9"/>
      <c r="F43" s="8"/>
      <c r="G43" s="8"/>
      <c r="H43" s="78" t="str">
        <f t="shared" si="0"/>
        <v/>
      </c>
      <c r="I43" s="82" t="str">
        <f t="shared" si="1"/>
        <v/>
      </c>
      <c r="J43" s="115" t="b">
        <f t="shared" si="2"/>
        <v>1</v>
      </c>
      <c r="K43" s="83" t="b">
        <f t="shared" si="13"/>
        <v>0</v>
      </c>
      <c r="L43" s="79" t="str">
        <f t="shared" si="3"/>
        <v/>
      </c>
      <c r="M43" s="80" t="str">
        <f t="shared" si="4"/>
        <v/>
      </c>
      <c r="N43" s="80" t="str">
        <f t="shared" si="5"/>
        <v/>
      </c>
      <c r="O43" s="80" t="str">
        <f t="shared" si="6"/>
        <v/>
      </c>
      <c r="P43" s="120" t="str">
        <f t="shared" si="7"/>
        <v/>
      </c>
      <c r="Q43" s="121" t="str">
        <f t="shared" si="8"/>
        <v/>
      </c>
      <c r="R43" s="121" t="str">
        <f t="shared" si="14"/>
        <v/>
      </c>
      <c r="S43" s="121" t="str">
        <f t="shared" si="9"/>
        <v/>
      </c>
      <c r="T43" s="123" t="str">
        <f t="shared" si="15"/>
        <v/>
      </c>
      <c r="U43" s="124" t="str">
        <f t="shared" si="10"/>
        <v/>
      </c>
      <c r="V43" s="121" t="str">
        <f t="shared" si="16"/>
        <v/>
      </c>
      <c r="W43" s="124" t="str">
        <f t="shared" si="11"/>
        <v/>
      </c>
      <c r="X43" s="124" t="str">
        <f t="shared" si="17"/>
        <v/>
      </c>
      <c r="Y43" s="117" t="str">
        <f t="shared" si="12"/>
        <v/>
      </c>
      <c r="Z43" s="124" t="str">
        <f>HLOOKUP($Z$37,$Q$37:$X$51,7,FALSE)</f>
        <v/>
      </c>
      <c r="AA43" s="124" t="str">
        <f>HLOOKUP($AA$37,$Q$37:$X$51,7,FALSE)</f>
        <v/>
      </c>
      <c r="AB43" s="121"/>
      <c r="AC43" s="121"/>
      <c r="AD43" s="121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150"/>
      <c r="AT43" s="150"/>
      <c r="AU43" s="105"/>
      <c r="AV43" s="105"/>
      <c r="AW43" s="105"/>
      <c r="AX43" s="105"/>
      <c r="AY43" s="105"/>
      <c r="AZ43" s="105"/>
      <c r="BA43" s="87"/>
      <c r="BB43" s="87"/>
      <c r="BC43" s="87"/>
      <c r="BD43" s="87"/>
      <c r="BE43" s="87"/>
      <c r="BF43" s="87"/>
      <c r="BG43" s="87"/>
    </row>
    <row r="44" spans="1:59" s="29" customFormat="1" ht="30" customHeight="1">
      <c r="B44" s="9"/>
      <c r="C44" s="9"/>
      <c r="D44" s="9"/>
      <c r="E44" s="9"/>
      <c r="F44" s="8"/>
      <c r="G44" s="8"/>
      <c r="H44" s="78" t="str">
        <f t="shared" si="0"/>
        <v/>
      </c>
      <c r="I44" s="82" t="str">
        <f t="shared" si="1"/>
        <v/>
      </c>
      <c r="J44" s="115" t="b">
        <f t="shared" si="2"/>
        <v>1</v>
      </c>
      <c r="K44" s="83" t="b">
        <f t="shared" si="13"/>
        <v>0</v>
      </c>
      <c r="L44" s="79" t="str">
        <f t="shared" si="3"/>
        <v/>
      </c>
      <c r="M44" s="80" t="str">
        <f t="shared" si="4"/>
        <v/>
      </c>
      <c r="N44" s="80" t="str">
        <f t="shared" si="5"/>
        <v/>
      </c>
      <c r="O44" s="80" t="str">
        <f t="shared" si="6"/>
        <v/>
      </c>
      <c r="P44" s="120" t="str">
        <f t="shared" si="7"/>
        <v/>
      </c>
      <c r="Q44" s="121" t="str">
        <f t="shared" si="8"/>
        <v/>
      </c>
      <c r="R44" s="121" t="str">
        <f t="shared" si="14"/>
        <v/>
      </c>
      <c r="S44" s="121" t="str">
        <f t="shared" si="9"/>
        <v/>
      </c>
      <c r="T44" s="123" t="str">
        <f t="shared" si="15"/>
        <v/>
      </c>
      <c r="U44" s="124" t="str">
        <f t="shared" si="10"/>
        <v/>
      </c>
      <c r="V44" s="121" t="str">
        <f t="shared" si="16"/>
        <v/>
      </c>
      <c r="W44" s="124" t="str">
        <f t="shared" si="11"/>
        <v/>
      </c>
      <c r="X44" s="124" t="str">
        <f t="shared" si="17"/>
        <v/>
      </c>
      <c r="Y44" s="117" t="str">
        <f t="shared" si="12"/>
        <v/>
      </c>
      <c r="Z44" s="124" t="str">
        <f>HLOOKUP($Z$37,$Q$37:$X$51,8,FALSE)</f>
        <v/>
      </c>
      <c r="AA44" s="124" t="str">
        <f>HLOOKUP($AA$37,$Q$37:$X$51,8,FALSE)</f>
        <v/>
      </c>
      <c r="AB44" s="121"/>
      <c r="AC44" s="121"/>
      <c r="AD44" s="121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150"/>
      <c r="AT44" s="150"/>
      <c r="AU44" s="105"/>
      <c r="AV44" s="105"/>
      <c r="AW44" s="105"/>
      <c r="AX44" s="105"/>
      <c r="AY44" s="105"/>
      <c r="AZ44" s="105"/>
      <c r="BA44" s="87"/>
      <c r="BB44" s="87"/>
      <c r="BC44" s="87"/>
      <c r="BD44" s="87"/>
      <c r="BE44" s="87"/>
      <c r="BF44" s="87"/>
      <c r="BG44" s="87"/>
    </row>
    <row r="45" spans="1:59" s="29" customFormat="1" ht="30" customHeight="1">
      <c r="B45" s="9"/>
      <c r="C45" s="9"/>
      <c r="D45" s="9"/>
      <c r="E45" s="9"/>
      <c r="F45" s="8"/>
      <c r="G45" s="8"/>
      <c r="H45" s="78" t="str">
        <f t="shared" si="0"/>
        <v/>
      </c>
      <c r="I45" s="82" t="str">
        <f t="shared" si="1"/>
        <v/>
      </c>
      <c r="J45" s="115" t="b">
        <f t="shared" si="2"/>
        <v>1</v>
      </c>
      <c r="K45" s="83" t="b">
        <f t="shared" si="13"/>
        <v>0</v>
      </c>
      <c r="L45" s="79" t="str">
        <f t="shared" si="3"/>
        <v/>
      </c>
      <c r="M45" s="80" t="str">
        <f t="shared" si="4"/>
        <v/>
      </c>
      <c r="N45" s="80" t="str">
        <f t="shared" si="5"/>
        <v/>
      </c>
      <c r="O45" s="80" t="str">
        <f t="shared" si="6"/>
        <v/>
      </c>
      <c r="P45" s="120" t="str">
        <f t="shared" si="7"/>
        <v/>
      </c>
      <c r="Q45" s="121" t="str">
        <f t="shared" si="8"/>
        <v/>
      </c>
      <c r="R45" s="121" t="str">
        <f t="shared" si="14"/>
        <v/>
      </c>
      <c r="S45" s="121" t="str">
        <f t="shared" si="9"/>
        <v/>
      </c>
      <c r="T45" s="123" t="str">
        <f t="shared" si="15"/>
        <v/>
      </c>
      <c r="U45" s="124" t="str">
        <f t="shared" si="10"/>
        <v/>
      </c>
      <c r="V45" s="121" t="str">
        <f t="shared" si="16"/>
        <v/>
      </c>
      <c r="W45" s="124" t="str">
        <f t="shared" si="11"/>
        <v/>
      </c>
      <c r="X45" s="124" t="str">
        <f t="shared" si="17"/>
        <v/>
      </c>
      <c r="Y45" s="117" t="str">
        <f t="shared" si="12"/>
        <v/>
      </c>
      <c r="Z45" s="124" t="str">
        <f>HLOOKUP($Z$37,$Q$37:$X$51,9,FALSE)</f>
        <v/>
      </c>
      <c r="AA45" s="124" t="str">
        <f>HLOOKUP($AA$37,$Q$37:$X$51,9,FALSE)</f>
        <v/>
      </c>
      <c r="AB45" s="121"/>
      <c r="AC45" s="121"/>
      <c r="AD45" s="121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150"/>
      <c r="AT45" s="150"/>
      <c r="AU45" s="105"/>
      <c r="AV45" s="105"/>
      <c r="AW45" s="105"/>
      <c r="AX45" s="105"/>
      <c r="AY45" s="105"/>
      <c r="AZ45" s="105"/>
      <c r="BA45" s="87"/>
      <c r="BB45" s="87"/>
      <c r="BC45" s="87"/>
      <c r="BD45" s="87"/>
      <c r="BE45" s="87"/>
      <c r="BF45" s="87"/>
      <c r="BG45" s="87"/>
    </row>
    <row r="46" spans="1:59" s="29" customFormat="1" ht="30" customHeight="1">
      <c r="B46" s="9"/>
      <c r="C46" s="9"/>
      <c r="D46" s="9"/>
      <c r="E46" s="9"/>
      <c r="F46" s="8"/>
      <c r="G46" s="8"/>
      <c r="H46" s="78" t="str">
        <f t="shared" si="0"/>
        <v/>
      </c>
      <c r="I46" s="82" t="str">
        <f t="shared" si="1"/>
        <v/>
      </c>
      <c r="J46" s="115" t="b">
        <f t="shared" si="2"/>
        <v>1</v>
      </c>
      <c r="K46" s="83" t="b">
        <f t="shared" si="13"/>
        <v>0</v>
      </c>
      <c r="L46" s="79" t="str">
        <f t="shared" si="3"/>
        <v/>
      </c>
      <c r="M46" s="80" t="str">
        <f t="shared" si="4"/>
        <v/>
      </c>
      <c r="N46" s="80" t="str">
        <f t="shared" si="5"/>
        <v/>
      </c>
      <c r="O46" s="80" t="str">
        <f t="shared" si="6"/>
        <v/>
      </c>
      <c r="P46" s="120" t="str">
        <f t="shared" si="7"/>
        <v/>
      </c>
      <c r="Q46" s="121" t="str">
        <f t="shared" si="8"/>
        <v/>
      </c>
      <c r="R46" s="121" t="str">
        <f t="shared" si="14"/>
        <v/>
      </c>
      <c r="S46" s="121" t="str">
        <f t="shared" si="9"/>
        <v/>
      </c>
      <c r="T46" s="123" t="str">
        <f t="shared" si="15"/>
        <v/>
      </c>
      <c r="U46" s="124" t="str">
        <f t="shared" si="10"/>
        <v/>
      </c>
      <c r="V46" s="121" t="str">
        <f t="shared" si="16"/>
        <v/>
      </c>
      <c r="W46" s="124" t="str">
        <f t="shared" si="11"/>
        <v/>
      </c>
      <c r="X46" s="124" t="str">
        <f t="shared" si="17"/>
        <v/>
      </c>
      <c r="Y46" s="117" t="str">
        <f t="shared" si="12"/>
        <v/>
      </c>
      <c r="Z46" s="124" t="str">
        <f>HLOOKUP($Z$37,$Q$37:$X$51,10,FALSE)</f>
        <v/>
      </c>
      <c r="AA46" s="124" t="str">
        <f>HLOOKUP($AA$37,$Q$37:$X$51,10,FALSE)</f>
        <v/>
      </c>
      <c r="AB46" s="121"/>
      <c r="AC46" s="121"/>
      <c r="AD46" s="121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150"/>
      <c r="AT46" s="150"/>
      <c r="AU46" s="105"/>
      <c r="AV46" s="105"/>
      <c r="AW46" s="105"/>
      <c r="AX46" s="105"/>
      <c r="AY46" s="105"/>
      <c r="AZ46" s="105"/>
      <c r="BA46" s="87"/>
      <c r="BB46" s="87"/>
      <c r="BC46" s="87"/>
      <c r="BD46" s="87"/>
      <c r="BE46" s="87"/>
      <c r="BF46" s="87"/>
      <c r="BG46" s="87"/>
    </row>
    <row r="47" spans="1:59" s="29" customFormat="1" ht="30" customHeight="1">
      <c r="B47" s="9"/>
      <c r="C47" s="9"/>
      <c r="D47" s="9"/>
      <c r="E47" s="9"/>
      <c r="F47" s="8"/>
      <c r="G47" s="8"/>
      <c r="H47" s="78" t="str">
        <f t="shared" si="0"/>
        <v/>
      </c>
      <c r="I47" s="82" t="str">
        <f t="shared" si="1"/>
        <v/>
      </c>
      <c r="J47" s="115" t="b">
        <f t="shared" si="2"/>
        <v>1</v>
      </c>
      <c r="K47" s="83" t="b">
        <f t="shared" si="13"/>
        <v>0</v>
      </c>
      <c r="L47" s="79" t="str">
        <f>IF(K47,ROUND(D47*VLOOKUP(I47,Tietojen_perusta,4,FALSE)*VLOOKUP(E47,Toimenpiteet,2,FALSE),0),"")</f>
        <v/>
      </c>
      <c r="M47" s="80" t="str">
        <f>IF(K47,IF(ISBLANK(F47),H47,F47)*D47,"")</f>
        <v/>
      </c>
      <c r="N47" s="80" t="str">
        <f t="shared" si="5"/>
        <v/>
      </c>
      <c r="O47" s="80" t="str">
        <f t="shared" si="6"/>
        <v/>
      </c>
      <c r="P47" s="120" t="str">
        <f t="shared" si="7"/>
        <v/>
      </c>
      <c r="Q47" s="121" t="str">
        <f>IF(K47,ROUND(D47*VLOOKUP(I47,Tietojen_perusta,4,FALSE),0),"")</f>
        <v/>
      </c>
      <c r="R47" s="121" t="str">
        <f t="shared" si="14"/>
        <v/>
      </c>
      <c r="S47" s="121" t="str">
        <f>IF(K47,D47*VLOOKUP(I47,Tietojen_perusta,6,FALSE),"")</f>
        <v/>
      </c>
      <c r="T47" s="123" t="str">
        <f t="shared" si="15"/>
        <v/>
      </c>
      <c r="U47" s="124" t="str">
        <f t="shared" si="10"/>
        <v/>
      </c>
      <c r="V47" s="121" t="str">
        <f t="shared" si="16"/>
        <v/>
      </c>
      <c r="W47" s="124" t="str">
        <f t="shared" si="11"/>
        <v/>
      </c>
      <c r="X47" s="124" t="str">
        <f t="shared" si="17"/>
        <v/>
      </c>
      <c r="Y47" s="117" t="str">
        <f t="shared" si="12"/>
        <v/>
      </c>
      <c r="Z47" s="124" t="str">
        <f>HLOOKUP($Z$37,$Q$37:$X$51,11,FALSE)</f>
        <v/>
      </c>
      <c r="AA47" s="124" t="str">
        <f>HLOOKUP($AA$37,$Q$37:$X$51,11,FALSE)</f>
        <v/>
      </c>
      <c r="AB47" s="121"/>
      <c r="AC47" s="121"/>
      <c r="AD47" s="121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150"/>
      <c r="AT47" s="150"/>
      <c r="AU47" s="105"/>
      <c r="AV47" s="105"/>
      <c r="AW47" s="105"/>
      <c r="AX47" s="105"/>
      <c r="AY47" s="105"/>
      <c r="AZ47" s="105"/>
      <c r="BA47" s="87"/>
      <c r="BB47" s="87"/>
      <c r="BC47" s="87"/>
      <c r="BD47" s="87"/>
      <c r="BE47" s="87"/>
      <c r="BF47" s="87"/>
      <c r="BG47" s="87"/>
    </row>
    <row r="48" spans="1:59" s="29" customFormat="1" ht="30" customHeight="1">
      <c r="B48" s="9"/>
      <c r="C48" s="9"/>
      <c r="D48" s="9"/>
      <c r="E48" s="9"/>
      <c r="F48" s="8"/>
      <c r="G48" s="8"/>
      <c r="H48" s="78" t="str">
        <f t="shared" si="0"/>
        <v/>
      </c>
      <c r="I48" s="82" t="str">
        <f t="shared" si="1"/>
        <v/>
      </c>
      <c r="J48" s="115" t="b">
        <f t="shared" si="2"/>
        <v>1</v>
      </c>
      <c r="K48" s="83" t="b">
        <f t="shared" si="13"/>
        <v>0</v>
      </c>
      <c r="L48" s="79" t="str">
        <f>IF(K48,ROUND(D48*VLOOKUP(I48,Tietojen_perusta,4,FALSE)*VLOOKUP(E48,Toimenpiteet,2,FALSE),0),"")</f>
        <v/>
      </c>
      <c r="M48" s="80" t="str">
        <f>IF(K48,IF(ISBLANK(F48),H48,F48)*D48,"")</f>
        <v/>
      </c>
      <c r="N48" s="80" t="str">
        <f t="shared" si="5"/>
        <v/>
      </c>
      <c r="O48" s="80" t="str">
        <f t="shared" si="6"/>
        <v/>
      </c>
      <c r="P48" s="120" t="str">
        <f t="shared" si="7"/>
        <v/>
      </c>
      <c r="Q48" s="121" t="str">
        <f>IF(K48,ROUND(D48*VLOOKUP(I48,Tietojen_perusta,4,FALSE),0),"")</f>
        <v/>
      </c>
      <c r="R48" s="121" t="str">
        <f t="shared" si="14"/>
        <v/>
      </c>
      <c r="S48" s="121" t="str">
        <f>IF(K48,D48*VLOOKUP(I48,Tietojen_perusta,6,FALSE),"")</f>
        <v/>
      </c>
      <c r="T48" s="123" t="str">
        <f t="shared" si="15"/>
        <v/>
      </c>
      <c r="U48" s="124" t="str">
        <f t="shared" si="10"/>
        <v/>
      </c>
      <c r="V48" s="121" t="str">
        <f t="shared" si="16"/>
        <v/>
      </c>
      <c r="W48" s="124" t="str">
        <f t="shared" si="11"/>
        <v/>
      </c>
      <c r="X48" s="124" t="str">
        <f t="shared" si="17"/>
        <v/>
      </c>
      <c r="Y48" s="117" t="str">
        <f t="shared" si="12"/>
        <v/>
      </c>
      <c r="Z48" s="124" t="str">
        <f>HLOOKUP($Z$37,$Q$37:$X$51,12,FALSE)</f>
        <v/>
      </c>
      <c r="AA48" s="124" t="str">
        <f>HLOOKUP($AA$37,$Q$37:$X$51,12,FALSE)</f>
        <v/>
      </c>
      <c r="AB48" s="121"/>
      <c r="AC48" s="121"/>
      <c r="AD48" s="121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150"/>
      <c r="AT48" s="150"/>
      <c r="AU48" s="105"/>
      <c r="AV48" s="105"/>
      <c r="AW48" s="105"/>
      <c r="AX48" s="105"/>
      <c r="AY48" s="105"/>
      <c r="AZ48" s="105"/>
      <c r="BA48" s="87"/>
      <c r="BB48" s="87"/>
      <c r="BC48" s="87"/>
      <c r="BD48" s="87"/>
      <c r="BE48" s="87"/>
      <c r="BF48" s="87"/>
      <c r="BG48" s="87"/>
    </row>
    <row r="49" spans="2:59" s="29" customFormat="1" ht="30" customHeight="1">
      <c r="B49" s="9"/>
      <c r="C49" s="9"/>
      <c r="D49" s="9"/>
      <c r="E49" s="9"/>
      <c r="F49" s="8"/>
      <c r="G49" s="8"/>
      <c r="H49" s="78" t="str">
        <f t="shared" si="0"/>
        <v/>
      </c>
      <c r="I49" s="82" t="str">
        <f t="shared" si="1"/>
        <v/>
      </c>
      <c r="J49" s="115" t="b">
        <f t="shared" si="2"/>
        <v>1</v>
      </c>
      <c r="K49" s="83" t="b">
        <f t="shared" si="13"/>
        <v>0</v>
      </c>
      <c r="L49" s="79" t="str">
        <f t="shared" si="3"/>
        <v/>
      </c>
      <c r="M49" s="80" t="str">
        <f t="shared" si="4"/>
        <v/>
      </c>
      <c r="N49" s="80" t="str">
        <f t="shared" si="5"/>
        <v/>
      </c>
      <c r="O49" s="80" t="str">
        <f t="shared" si="6"/>
        <v/>
      </c>
      <c r="P49" s="120" t="str">
        <f t="shared" si="7"/>
        <v/>
      </c>
      <c r="Q49" s="121" t="str">
        <f t="shared" si="8"/>
        <v/>
      </c>
      <c r="R49" s="121" t="str">
        <f t="shared" si="14"/>
        <v/>
      </c>
      <c r="S49" s="121" t="str">
        <f t="shared" si="9"/>
        <v/>
      </c>
      <c r="T49" s="123" t="str">
        <f t="shared" si="15"/>
        <v/>
      </c>
      <c r="U49" s="124" t="str">
        <f t="shared" si="10"/>
        <v/>
      </c>
      <c r="V49" s="121" t="str">
        <f t="shared" si="16"/>
        <v/>
      </c>
      <c r="W49" s="124" t="str">
        <f t="shared" si="11"/>
        <v/>
      </c>
      <c r="X49" s="124" t="str">
        <f t="shared" si="17"/>
        <v/>
      </c>
      <c r="Y49" s="117" t="str">
        <f t="shared" si="12"/>
        <v/>
      </c>
      <c r="Z49" s="124" t="str">
        <f>HLOOKUP($Z$37,$Q$37:$X$51,13,FALSE)</f>
        <v/>
      </c>
      <c r="AA49" s="124" t="str">
        <f>HLOOKUP($AA$37,$Q$37:$X$51,13,FALSE)</f>
        <v/>
      </c>
      <c r="AB49" s="87"/>
      <c r="AC49" s="121"/>
      <c r="AD49" s="121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150"/>
      <c r="AT49" s="150"/>
      <c r="AU49" s="105"/>
      <c r="AV49" s="105"/>
      <c r="AW49" s="105"/>
      <c r="AX49" s="105"/>
      <c r="AY49" s="105"/>
      <c r="AZ49" s="105"/>
      <c r="BA49" s="87"/>
      <c r="BB49" s="87"/>
      <c r="BC49" s="87"/>
      <c r="BD49" s="87"/>
      <c r="BE49" s="87"/>
      <c r="BF49" s="87"/>
      <c r="BG49" s="87"/>
    </row>
    <row r="50" spans="2:59" s="29" customFormat="1" ht="30" customHeight="1">
      <c r="B50" s="9"/>
      <c r="C50" s="9"/>
      <c r="D50" s="9"/>
      <c r="E50" s="9"/>
      <c r="F50" s="8"/>
      <c r="G50" s="8"/>
      <c r="H50" s="78" t="str">
        <f t="shared" si="0"/>
        <v/>
      </c>
      <c r="I50" s="82" t="str">
        <f t="shared" si="1"/>
        <v/>
      </c>
      <c r="J50" s="115" t="b">
        <f t="shared" si="2"/>
        <v>1</v>
      </c>
      <c r="K50" s="83" t="b">
        <f t="shared" si="13"/>
        <v>0</v>
      </c>
      <c r="L50" s="79" t="str">
        <f t="shared" si="3"/>
        <v/>
      </c>
      <c r="M50" s="80" t="str">
        <f t="shared" si="4"/>
        <v/>
      </c>
      <c r="N50" s="80" t="str">
        <f t="shared" si="5"/>
        <v/>
      </c>
      <c r="O50" s="80" t="str">
        <f t="shared" si="6"/>
        <v/>
      </c>
      <c r="P50" s="120" t="str">
        <f t="shared" si="7"/>
        <v/>
      </c>
      <c r="Q50" s="121" t="str">
        <f t="shared" si="8"/>
        <v/>
      </c>
      <c r="R50" s="121" t="str">
        <f t="shared" si="14"/>
        <v/>
      </c>
      <c r="S50" s="121" t="str">
        <f t="shared" si="9"/>
        <v/>
      </c>
      <c r="T50" s="123" t="str">
        <f t="shared" si="15"/>
        <v/>
      </c>
      <c r="U50" s="124" t="str">
        <f t="shared" si="10"/>
        <v/>
      </c>
      <c r="V50" s="121" t="str">
        <f t="shared" si="16"/>
        <v/>
      </c>
      <c r="W50" s="124" t="str">
        <f t="shared" si="11"/>
        <v/>
      </c>
      <c r="X50" s="124" t="str">
        <f t="shared" si="17"/>
        <v/>
      </c>
      <c r="Y50" s="117" t="str">
        <f t="shared" si="12"/>
        <v/>
      </c>
      <c r="Z50" s="124" t="str">
        <f>HLOOKUP($Z$37,$Q$37:$X$51,14,FALSE)</f>
        <v/>
      </c>
      <c r="AA50" s="124" t="str">
        <f>HLOOKUP($AA$37,$Q$37:$X$51,14,FALSE)</f>
        <v/>
      </c>
      <c r="AB50" s="87"/>
      <c r="AC50" s="121"/>
      <c r="AD50" s="121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150"/>
      <c r="AT50" s="150"/>
      <c r="AU50" s="105"/>
      <c r="AV50" s="105"/>
      <c r="AW50" s="105"/>
      <c r="AX50" s="105"/>
      <c r="AY50" s="105"/>
      <c r="AZ50" s="105"/>
      <c r="BA50" s="87"/>
      <c r="BB50" s="87"/>
      <c r="BC50" s="87"/>
      <c r="BD50" s="87"/>
      <c r="BE50" s="87"/>
      <c r="BF50" s="87"/>
      <c r="BG50" s="87"/>
    </row>
    <row r="51" spans="2:59" s="29" customFormat="1" ht="30" customHeight="1">
      <c r="B51" s="9"/>
      <c r="C51" s="9"/>
      <c r="D51" s="9"/>
      <c r="E51" s="9"/>
      <c r="F51" s="8"/>
      <c r="G51" s="8"/>
      <c r="H51" s="78" t="str">
        <f t="shared" si="0"/>
        <v/>
      </c>
      <c r="I51" s="82" t="str">
        <f t="shared" si="1"/>
        <v/>
      </c>
      <c r="J51" s="115" t="b">
        <f t="shared" si="2"/>
        <v>1</v>
      </c>
      <c r="K51" s="83" t="b">
        <f t="shared" si="13"/>
        <v>0</v>
      </c>
      <c r="L51" s="79" t="str">
        <f t="shared" si="3"/>
        <v/>
      </c>
      <c r="M51" s="80" t="str">
        <f t="shared" si="4"/>
        <v/>
      </c>
      <c r="N51" s="80" t="str">
        <f t="shared" si="5"/>
        <v/>
      </c>
      <c r="O51" s="80" t="str">
        <f t="shared" si="6"/>
        <v/>
      </c>
      <c r="P51" s="120" t="str">
        <f t="shared" si="7"/>
        <v/>
      </c>
      <c r="Q51" s="121" t="str">
        <f t="shared" si="8"/>
        <v/>
      </c>
      <c r="R51" s="121" t="str">
        <f t="shared" si="14"/>
        <v/>
      </c>
      <c r="S51" s="121" t="str">
        <f t="shared" si="9"/>
        <v/>
      </c>
      <c r="T51" s="123" t="str">
        <f t="shared" si="15"/>
        <v/>
      </c>
      <c r="U51" s="124" t="str">
        <f t="shared" si="10"/>
        <v/>
      </c>
      <c r="V51" s="87"/>
      <c r="W51" s="124" t="str">
        <f t="shared" si="11"/>
        <v/>
      </c>
      <c r="X51" s="124" t="str">
        <f t="shared" si="17"/>
        <v/>
      </c>
      <c r="Y51" s="117" t="str">
        <f t="shared" si="12"/>
        <v/>
      </c>
      <c r="Z51" s="124" t="str">
        <f>HLOOKUP($Z$37,$Q$37:$X$51,15,FALSE)</f>
        <v/>
      </c>
      <c r="AA51" s="124" t="str">
        <f>HLOOKUP($AA$37,$Q$37:$X$51,15,FALSE)</f>
        <v/>
      </c>
      <c r="AB51" s="87"/>
      <c r="AC51" s="121"/>
      <c r="AD51" s="121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150"/>
      <c r="AT51" s="150"/>
      <c r="AU51" s="105"/>
      <c r="AV51" s="105"/>
      <c r="AW51" s="105"/>
      <c r="AX51" s="105"/>
      <c r="AY51" s="105"/>
      <c r="AZ51" s="105"/>
      <c r="BA51" s="87"/>
      <c r="BB51" s="87"/>
      <c r="BC51" s="87"/>
      <c r="BD51" s="87"/>
      <c r="BE51" s="87"/>
      <c r="BF51" s="87"/>
      <c r="BG51" s="87"/>
    </row>
    <row r="52" spans="2:59" s="29" customFormat="1" ht="30" customHeight="1">
      <c r="I52" s="81"/>
      <c r="J52" s="81"/>
      <c r="K52" s="82"/>
      <c r="L52" s="83"/>
      <c r="M52" s="84"/>
      <c r="N52" s="85"/>
      <c r="O52" s="85"/>
      <c r="P52" s="120"/>
      <c r="Q52" s="87"/>
      <c r="R52" s="125"/>
      <c r="S52" s="123"/>
      <c r="T52" s="123"/>
      <c r="U52" s="124"/>
      <c r="V52" s="87"/>
      <c r="W52" s="87"/>
      <c r="X52" s="124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150"/>
      <c r="AT52" s="150"/>
      <c r="AU52" s="105"/>
      <c r="AV52" s="105"/>
      <c r="AW52" s="105"/>
      <c r="AX52" s="105"/>
      <c r="AY52" s="105"/>
      <c r="AZ52" s="105"/>
      <c r="BA52" s="87"/>
      <c r="BB52" s="87"/>
      <c r="BC52" s="87"/>
      <c r="BD52" s="87"/>
      <c r="BE52" s="87"/>
      <c r="BF52" s="87"/>
      <c r="BG52" s="87"/>
    </row>
    <row r="53" spans="2:59" s="29" customFormat="1" ht="14.25" customHeight="1">
      <c r="I53" s="81"/>
      <c r="J53" s="81"/>
      <c r="K53" s="82"/>
      <c r="L53" s="83"/>
      <c r="M53" s="84"/>
      <c r="N53" s="85"/>
      <c r="O53" s="85"/>
      <c r="P53" s="120"/>
      <c r="Q53" s="87"/>
      <c r="R53" s="125"/>
      <c r="S53" s="123"/>
      <c r="T53" s="123"/>
      <c r="U53" s="124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150"/>
      <c r="AT53" s="150"/>
      <c r="AU53" s="105"/>
      <c r="AV53" s="105"/>
      <c r="AW53" s="105"/>
      <c r="AX53" s="105"/>
      <c r="AY53" s="105"/>
      <c r="AZ53" s="105"/>
      <c r="BA53" s="87"/>
      <c r="BB53" s="87"/>
      <c r="BC53" s="87"/>
      <c r="BD53" s="87"/>
      <c r="BE53" s="87"/>
      <c r="BF53" s="87"/>
      <c r="BG53" s="87"/>
    </row>
    <row r="54" spans="2:59" s="29" customFormat="1" ht="102" customHeight="1">
      <c r="I54" s="81"/>
      <c r="J54" s="81"/>
      <c r="K54" s="82"/>
      <c r="L54" s="83"/>
      <c r="M54" s="84"/>
      <c r="N54" s="85"/>
      <c r="O54" s="85"/>
      <c r="P54" s="120"/>
      <c r="Q54" s="87"/>
      <c r="R54" s="125"/>
      <c r="S54" s="123"/>
      <c r="T54" s="123"/>
      <c r="U54" s="124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150"/>
      <c r="AT54" s="150"/>
      <c r="AU54" s="105"/>
      <c r="AV54" s="105"/>
      <c r="AW54" s="105"/>
      <c r="AX54" s="105"/>
      <c r="AY54" s="105"/>
      <c r="AZ54" s="105"/>
      <c r="BA54" s="87"/>
      <c r="BB54" s="87"/>
      <c r="BC54" s="87"/>
      <c r="BD54" s="87"/>
      <c r="BE54" s="87"/>
      <c r="BF54" s="87"/>
      <c r="BG54" s="87"/>
    </row>
    <row r="55" spans="2:59" s="29" customFormat="1" ht="406.15" customHeight="1">
      <c r="I55" s="81"/>
      <c r="J55" s="81"/>
      <c r="K55" s="82"/>
      <c r="L55" s="83"/>
      <c r="M55" s="84"/>
      <c r="N55" s="85"/>
      <c r="O55" s="85"/>
      <c r="P55" s="120"/>
      <c r="Q55" s="87"/>
      <c r="R55" s="125"/>
      <c r="S55" s="123"/>
      <c r="T55" s="123"/>
      <c r="U55" s="124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150"/>
      <c r="AT55" s="150"/>
      <c r="AU55" s="105"/>
      <c r="AV55" s="105"/>
      <c r="AW55" s="105"/>
      <c r="AX55" s="105"/>
      <c r="AY55" s="105"/>
      <c r="AZ55" s="105"/>
      <c r="BA55" s="87"/>
      <c r="BB55" s="87"/>
      <c r="BC55" s="87"/>
      <c r="BD55" s="87"/>
      <c r="BE55" s="87"/>
      <c r="BF55" s="87"/>
      <c r="BG55" s="87"/>
    </row>
    <row r="56" spans="2:59" s="29" customFormat="1" ht="14.25" customHeight="1">
      <c r="B56" s="87"/>
      <c r="C56" s="87"/>
      <c r="D56" s="87"/>
      <c r="E56" s="87"/>
      <c r="F56" s="87"/>
      <c r="G56" s="87"/>
      <c r="H56" s="87"/>
      <c r="I56" s="87"/>
      <c r="J56" s="87"/>
      <c r="Q56" s="88"/>
      <c r="R56" s="88"/>
      <c r="S56" s="89"/>
      <c r="T56" s="89"/>
      <c r="U56" s="90"/>
      <c r="V56" s="86"/>
      <c r="W56" s="86"/>
      <c r="X56" s="86"/>
      <c r="Y56" s="86"/>
      <c r="Z56" s="86"/>
      <c r="AA56" s="86"/>
      <c r="AB56" s="86"/>
    </row>
    <row r="57" spans="2:59" s="29" customFormat="1" ht="21" customHeight="1">
      <c r="Q57" s="88"/>
      <c r="R57" s="88"/>
      <c r="S57" s="89"/>
      <c r="T57" s="89"/>
      <c r="U57" s="90"/>
      <c r="V57" s="86"/>
      <c r="W57" s="86"/>
      <c r="X57" s="86"/>
      <c r="Y57" s="86"/>
      <c r="Z57" s="86"/>
      <c r="AA57" s="86"/>
      <c r="AB57" s="86"/>
    </row>
    <row r="58" spans="2:59" s="91" customFormat="1" ht="62.25" customHeight="1"/>
    <row r="59" spans="2:59" s="92" customFormat="1" ht="51.6">
      <c r="B59" s="93"/>
    </row>
    <row r="60" spans="2:59" s="92" customFormat="1" ht="21">
      <c r="B60" s="94"/>
    </row>
    <row r="61" spans="2:59" s="92" customFormat="1"/>
    <row r="62" spans="2:59" s="92" customFormat="1">
      <c r="O62" s="95"/>
    </row>
    <row r="63" spans="2:59" s="92" customFormat="1"/>
    <row r="64" spans="2:59" s="92" customFormat="1"/>
    <row r="65" s="92" customFormat="1"/>
    <row r="66" s="92" customFormat="1"/>
    <row r="67" s="92" customFormat="1"/>
    <row r="68" s="92" customFormat="1"/>
    <row r="69" s="92" customFormat="1"/>
    <row r="70" s="92" customFormat="1"/>
    <row r="71" s="92" customFormat="1"/>
    <row r="72" s="92" customFormat="1"/>
    <row r="73" s="92" customFormat="1"/>
    <row r="74" s="92" customFormat="1"/>
    <row r="75" s="92" customFormat="1"/>
    <row r="76" s="92" customFormat="1"/>
    <row r="77" s="92" customFormat="1"/>
    <row r="78" s="91" customFormat="1"/>
    <row r="79" s="91" customFormat="1"/>
    <row r="80" s="91" customFormat="1"/>
    <row r="81" s="91" customFormat="1"/>
    <row r="82" s="91" customFormat="1"/>
    <row r="83" s="91" customFormat="1"/>
    <row r="84" s="91" customFormat="1"/>
    <row r="85" s="91" customFormat="1"/>
    <row r="86" s="91" customFormat="1"/>
    <row r="87" s="91" customFormat="1"/>
    <row r="88" s="91" customFormat="1"/>
    <row r="89" s="91" customFormat="1"/>
    <row r="90" s="91" customFormat="1"/>
    <row r="91" s="91" customFormat="1"/>
    <row r="92" s="91" customFormat="1"/>
    <row r="93" s="91" customFormat="1"/>
    <row r="94" s="91" customFormat="1"/>
    <row r="95" s="91" customFormat="1" ht="98.25" customHeight="1"/>
    <row r="96" s="91" customFormat="1"/>
    <row r="97" spans="2:2" s="91" customFormat="1"/>
    <row r="98" spans="2:2" s="91" customFormat="1"/>
    <row r="99" spans="2:2" s="91" customFormat="1"/>
    <row r="100" spans="2:2" s="91" customFormat="1"/>
    <row r="101" spans="2:2" s="91" customFormat="1"/>
    <row r="102" spans="2:2" s="91" customFormat="1" ht="67.150000000000006" customHeight="1"/>
    <row r="103" spans="2:2" s="91" customFormat="1"/>
    <row r="104" spans="2:2" s="91" customFormat="1"/>
    <row r="105" spans="2:2" s="91" customFormat="1" ht="26.25" customHeight="1"/>
    <row r="106" spans="2:2" s="91" customFormat="1"/>
    <row r="107" spans="2:2" s="91" customFormat="1">
      <c r="B107" s="96"/>
    </row>
    <row r="108" spans="2:2" s="91" customFormat="1" ht="34.15" customHeight="1">
      <c r="B108" s="7" t="s">
        <v>59</v>
      </c>
    </row>
    <row r="109" spans="2:2" s="91" customFormat="1"/>
    <row r="110" spans="2:2" s="91" customFormat="1"/>
    <row r="111" spans="2:2" s="91" customFormat="1"/>
    <row r="112" spans="2:2" s="91" customFormat="1"/>
    <row r="113" s="91" customFormat="1"/>
    <row r="114" s="91" customFormat="1"/>
    <row r="115" s="91" customFormat="1"/>
    <row r="116" s="91" customFormat="1"/>
    <row r="117" s="91" customFormat="1"/>
    <row r="118" s="91" customFormat="1"/>
    <row r="119" s="91" customFormat="1"/>
    <row r="120" s="91" customFormat="1"/>
    <row r="121" s="91" customFormat="1"/>
    <row r="122" s="91" customFormat="1"/>
    <row r="123" s="91" customFormat="1"/>
    <row r="124" s="91" customFormat="1"/>
    <row r="125" s="91" customFormat="1"/>
    <row r="126" s="91" customFormat="1"/>
    <row r="127" s="91" customFormat="1"/>
    <row r="128" s="91" customFormat="1"/>
    <row r="129" spans="2:114" s="91" customFormat="1"/>
    <row r="130" spans="2:114" s="91" customFormat="1"/>
    <row r="131" spans="2:114" s="91" customFormat="1"/>
    <row r="132" spans="2:114" s="91" customFormat="1"/>
    <row r="133" spans="2:114" s="91" customFormat="1"/>
    <row r="134" spans="2:114" s="91" customFormat="1"/>
    <row r="135" spans="2:114" s="91" customFormat="1"/>
    <row r="136" spans="2:114" s="91" customFormat="1"/>
    <row r="137" spans="2:114" s="91" customFormat="1"/>
    <row r="138" spans="2:114" s="91" customFormat="1"/>
    <row r="139" spans="2:114" s="91" customFormat="1"/>
    <row r="140" spans="2:114" s="91" customFormat="1"/>
    <row r="141" spans="2:114" s="91" customFormat="1"/>
    <row r="142" spans="2:114" s="91" customFormat="1" ht="240" customHeight="1"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</row>
    <row r="143" spans="2:114" s="91" customFormat="1" ht="17.25" customHeight="1"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</row>
    <row r="144" spans="2:114" s="91" customFormat="1" ht="40.15" customHeight="1"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</row>
    <row r="145" spans="2:7" s="91" customFormat="1" ht="21">
      <c r="B145" s="48" t="s">
        <v>60</v>
      </c>
      <c r="C145" s="41"/>
      <c r="D145" s="41"/>
      <c r="E145" s="41"/>
      <c r="F145" s="41"/>
    </row>
    <row r="146" spans="2:7" s="91" customFormat="1" ht="25.9">
      <c r="B146" s="151" t="s">
        <v>61</v>
      </c>
      <c r="C146" s="151" t="s">
        <v>62</v>
      </c>
      <c r="D146" s="153" t="s">
        <v>63</v>
      </c>
      <c r="E146" s="154"/>
      <c r="F146" s="155" t="s">
        <v>47</v>
      </c>
      <c r="G146" s="154"/>
    </row>
    <row r="147" spans="2:7" s="91" customFormat="1" ht="25.9">
      <c r="B147" s="152"/>
      <c r="C147" s="152"/>
      <c r="D147" s="97" t="s">
        <v>64</v>
      </c>
      <c r="E147" s="97" t="s">
        <v>65</v>
      </c>
      <c r="F147" s="97" t="s">
        <v>64</v>
      </c>
      <c r="G147" s="97" t="s">
        <v>65</v>
      </c>
    </row>
    <row r="148" spans="2:7" s="91" customFormat="1" ht="25.9">
      <c r="B148" s="98" t="str">
        <f>P38</f>
        <v/>
      </c>
      <c r="C148" s="99" t="str">
        <f>IF(K38,D38,"")</f>
        <v/>
      </c>
      <c r="D148" s="99" t="str">
        <f>IF(K38,L38,"")</f>
        <v/>
      </c>
      <c r="E148" s="99" t="str">
        <f>IF(K38,Q38,"")</f>
        <v/>
      </c>
      <c r="F148" s="99" t="str">
        <f>IF(K38,N38,"")</f>
        <v/>
      </c>
      <c r="G148" s="99" t="str">
        <f>IF(K38,S38,"")</f>
        <v/>
      </c>
    </row>
    <row r="149" spans="2:7" s="91" customFormat="1" ht="25.9">
      <c r="B149" s="98" t="str">
        <f t="shared" ref="B149:B161" si="18">P39</f>
        <v/>
      </c>
      <c r="C149" s="99" t="str">
        <f t="shared" ref="C149:C161" si="19">IF(K39,D39,"")</f>
        <v/>
      </c>
      <c r="D149" s="99" t="str">
        <f t="shared" ref="D149:D161" si="20">IF(K39,L39,"")</f>
        <v/>
      </c>
      <c r="E149" s="99" t="str">
        <f t="shared" ref="E149:E161" si="21">IF(K39,Q39,"")</f>
        <v/>
      </c>
      <c r="F149" s="99" t="str">
        <f t="shared" ref="F149:F161" si="22">IF(K39,N39,"")</f>
        <v/>
      </c>
      <c r="G149" s="99" t="str">
        <f t="shared" ref="G149:G161" si="23">IF(K39,S39,"")</f>
        <v/>
      </c>
    </row>
    <row r="150" spans="2:7" s="91" customFormat="1" ht="25.9">
      <c r="B150" s="98" t="str">
        <f t="shared" si="18"/>
        <v/>
      </c>
      <c r="C150" s="99" t="str">
        <f t="shared" si="19"/>
        <v/>
      </c>
      <c r="D150" s="99" t="str">
        <f t="shared" si="20"/>
        <v/>
      </c>
      <c r="E150" s="99" t="str">
        <f t="shared" si="21"/>
        <v/>
      </c>
      <c r="F150" s="99" t="str">
        <f t="shared" si="22"/>
        <v/>
      </c>
      <c r="G150" s="99" t="str">
        <f t="shared" si="23"/>
        <v/>
      </c>
    </row>
    <row r="151" spans="2:7" s="91" customFormat="1" ht="25.9">
      <c r="B151" s="98" t="str">
        <f t="shared" si="18"/>
        <v/>
      </c>
      <c r="C151" s="99" t="str">
        <f t="shared" si="19"/>
        <v/>
      </c>
      <c r="D151" s="99" t="str">
        <f t="shared" si="20"/>
        <v/>
      </c>
      <c r="E151" s="99" t="str">
        <f t="shared" si="21"/>
        <v/>
      </c>
      <c r="F151" s="99" t="str">
        <f t="shared" si="22"/>
        <v/>
      </c>
      <c r="G151" s="99" t="str">
        <f t="shared" si="23"/>
        <v/>
      </c>
    </row>
    <row r="152" spans="2:7" s="91" customFormat="1" ht="25.9">
      <c r="B152" s="98" t="str">
        <f t="shared" si="18"/>
        <v/>
      </c>
      <c r="C152" s="99" t="str">
        <f t="shared" si="19"/>
        <v/>
      </c>
      <c r="D152" s="99" t="str">
        <f t="shared" si="20"/>
        <v/>
      </c>
      <c r="E152" s="99" t="str">
        <f t="shared" si="21"/>
        <v/>
      </c>
      <c r="F152" s="99" t="str">
        <f t="shared" si="22"/>
        <v/>
      </c>
      <c r="G152" s="99" t="str">
        <f t="shared" si="23"/>
        <v/>
      </c>
    </row>
    <row r="153" spans="2:7" s="91" customFormat="1" ht="25.9">
      <c r="B153" s="98" t="str">
        <f t="shared" si="18"/>
        <v/>
      </c>
      <c r="C153" s="99" t="str">
        <f t="shared" si="19"/>
        <v/>
      </c>
      <c r="D153" s="99" t="str">
        <f t="shared" si="20"/>
        <v/>
      </c>
      <c r="E153" s="99" t="str">
        <f t="shared" si="21"/>
        <v/>
      </c>
      <c r="F153" s="99" t="str">
        <f t="shared" si="22"/>
        <v/>
      </c>
      <c r="G153" s="99" t="str">
        <f t="shared" si="23"/>
        <v/>
      </c>
    </row>
    <row r="154" spans="2:7" s="91" customFormat="1" ht="25.9">
      <c r="B154" s="98" t="str">
        <f t="shared" si="18"/>
        <v/>
      </c>
      <c r="C154" s="99" t="str">
        <f t="shared" si="19"/>
        <v/>
      </c>
      <c r="D154" s="99" t="str">
        <f t="shared" si="20"/>
        <v/>
      </c>
      <c r="E154" s="99" t="str">
        <f t="shared" si="21"/>
        <v/>
      </c>
      <c r="F154" s="99" t="str">
        <f t="shared" si="22"/>
        <v/>
      </c>
      <c r="G154" s="99" t="str">
        <f t="shared" si="23"/>
        <v/>
      </c>
    </row>
    <row r="155" spans="2:7" s="91" customFormat="1" ht="25.9">
      <c r="B155" s="98" t="str">
        <f t="shared" si="18"/>
        <v/>
      </c>
      <c r="C155" s="99" t="str">
        <f t="shared" si="19"/>
        <v/>
      </c>
      <c r="D155" s="99" t="str">
        <f t="shared" si="20"/>
        <v/>
      </c>
      <c r="E155" s="99" t="str">
        <f t="shared" si="21"/>
        <v/>
      </c>
      <c r="F155" s="99" t="str">
        <f t="shared" si="22"/>
        <v/>
      </c>
      <c r="G155" s="99" t="str">
        <f t="shared" si="23"/>
        <v/>
      </c>
    </row>
    <row r="156" spans="2:7" s="91" customFormat="1" ht="25.9">
      <c r="B156" s="98" t="str">
        <f t="shared" si="18"/>
        <v/>
      </c>
      <c r="C156" s="99" t="str">
        <f t="shared" si="19"/>
        <v/>
      </c>
      <c r="D156" s="99" t="str">
        <f t="shared" si="20"/>
        <v/>
      </c>
      <c r="E156" s="99" t="str">
        <f t="shared" si="21"/>
        <v/>
      </c>
      <c r="F156" s="99" t="str">
        <f t="shared" si="22"/>
        <v/>
      </c>
      <c r="G156" s="99" t="str">
        <f t="shared" si="23"/>
        <v/>
      </c>
    </row>
    <row r="157" spans="2:7" s="91" customFormat="1" ht="25.9">
      <c r="B157" s="98" t="str">
        <f t="shared" si="18"/>
        <v/>
      </c>
      <c r="C157" s="99" t="str">
        <f t="shared" si="19"/>
        <v/>
      </c>
      <c r="D157" s="99" t="str">
        <f t="shared" si="20"/>
        <v/>
      </c>
      <c r="E157" s="99" t="str">
        <f t="shared" si="21"/>
        <v/>
      </c>
      <c r="F157" s="99" t="str">
        <f t="shared" si="22"/>
        <v/>
      </c>
      <c r="G157" s="99" t="str">
        <f t="shared" si="23"/>
        <v/>
      </c>
    </row>
    <row r="158" spans="2:7" s="91" customFormat="1" ht="25.9">
      <c r="B158" s="98" t="str">
        <f t="shared" si="18"/>
        <v/>
      </c>
      <c r="C158" s="99" t="str">
        <f t="shared" si="19"/>
        <v/>
      </c>
      <c r="D158" s="99" t="str">
        <f t="shared" si="20"/>
        <v/>
      </c>
      <c r="E158" s="99" t="str">
        <f t="shared" si="21"/>
        <v/>
      </c>
      <c r="F158" s="99" t="str">
        <f t="shared" si="22"/>
        <v/>
      </c>
      <c r="G158" s="99" t="str">
        <f t="shared" si="23"/>
        <v/>
      </c>
    </row>
    <row r="159" spans="2:7" s="91" customFormat="1" ht="25.9">
      <c r="B159" s="98" t="str">
        <f t="shared" si="18"/>
        <v/>
      </c>
      <c r="C159" s="99" t="str">
        <f t="shared" si="19"/>
        <v/>
      </c>
      <c r="D159" s="99" t="str">
        <f t="shared" si="20"/>
        <v/>
      </c>
      <c r="E159" s="99" t="str">
        <f t="shared" si="21"/>
        <v/>
      </c>
      <c r="F159" s="99" t="str">
        <f t="shared" si="22"/>
        <v/>
      </c>
      <c r="G159" s="99" t="str">
        <f t="shared" si="23"/>
        <v/>
      </c>
    </row>
    <row r="160" spans="2:7" s="91" customFormat="1" ht="25.9">
      <c r="B160" s="98" t="str">
        <f t="shared" si="18"/>
        <v/>
      </c>
      <c r="C160" s="99" t="str">
        <f t="shared" si="19"/>
        <v/>
      </c>
      <c r="D160" s="99" t="str">
        <f t="shared" si="20"/>
        <v/>
      </c>
      <c r="E160" s="99" t="str">
        <f t="shared" si="21"/>
        <v/>
      </c>
      <c r="F160" s="99" t="str">
        <f t="shared" si="22"/>
        <v/>
      </c>
      <c r="G160" s="99" t="str">
        <f t="shared" si="23"/>
        <v/>
      </c>
    </row>
    <row r="161" spans="1:11" s="91" customFormat="1" ht="25.9">
      <c r="B161" s="98" t="str">
        <f t="shared" si="18"/>
        <v/>
      </c>
      <c r="C161" s="99" t="str">
        <f t="shared" si="19"/>
        <v/>
      </c>
      <c r="D161" s="99" t="str">
        <f t="shared" si="20"/>
        <v/>
      </c>
      <c r="E161" s="99" t="str">
        <f t="shared" si="21"/>
        <v/>
      </c>
      <c r="F161" s="99" t="str">
        <f t="shared" si="22"/>
        <v/>
      </c>
      <c r="G161" s="99" t="str">
        <f t="shared" si="23"/>
        <v/>
      </c>
    </row>
    <row r="162" spans="1:11" s="91" customFormat="1">
      <c r="B162" s="92"/>
      <c r="C162" s="92"/>
      <c r="D162" s="92"/>
      <c r="E162" s="92"/>
      <c r="F162" s="92"/>
      <c r="G162" s="92"/>
      <c r="H162" s="92"/>
    </row>
    <row r="163" spans="1:11" s="91" customFormat="1">
      <c r="B163" s="92"/>
      <c r="C163" s="92"/>
      <c r="D163" s="92"/>
      <c r="E163" s="92"/>
      <c r="F163" s="92"/>
      <c r="G163" s="92"/>
      <c r="H163" s="92"/>
    </row>
    <row r="164" spans="1:11" s="91" customFormat="1">
      <c r="B164" s="92"/>
      <c r="C164" s="92"/>
      <c r="D164" s="92"/>
      <c r="E164" s="92"/>
      <c r="F164" s="92"/>
      <c r="G164" s="92"/>
      <c r="H164" s="92"/>
    </row>
    <row r="165" spans="1:11" s="91" customFormat="1">
      <c r="B165" s="92"/>
      <c r="C165" s="92"/>
      <c r="D165" s="92"/>
      <c r="E165" s="92"/>
      <c r="F165" s="92"/>
      <c r="G165" s="92"/>
      <c r="H165" s="92"/>
    </row>
    <row r="166" spans="1:11" s="91" customFormat="1">
      <c r="A166" s="132"/>
      <c r="B166" s="132"/>
      <c r="C166" s="132"/>
      <c r="D166" s="132"/>
      <c r="E166" s="132"/>
      <c r="F166" s="132"/>
      <c r="G166" s="132"/>
      <c r="H166" s="132"/>
    </row>
    <row r="167" spans="1:11" s="91" customFormat="1">
      <c r="A167" s="132"/>
      <c r="B167" s="132"/>
      <c r="C167" s="132"/>
      <c r="D167" s="132"/>
      <c r="E167" s="132"/>
      <c r="F167" s="132"/>
      <c r="G167" s="132"/>
      <c r="H167" s="132"/>
    </row>
    <row r="168" spans="1:11" s="91" customFormat="1">
      <c r="A168" s="132"/>
      <c r="B168" s="132"/>
      <c r="C168" s="132"/>
      <c r="D168" s="132"/>
      <c r="E168" s="132"/>
      <c r="F168" s="132"/>
      <c r="G168" s="132"/>
      <c r="H168" s="132"/>
    </row>
    <row r="169" spans="1:11" s="91" customFormat="1">
      <c r="A169" s="132"/>
      <c r="B169" s="132"/>
      <c r="C169" s="132"/>
      <c r="D169" s="132"/>
      <c r="E169" s="132"/>
      <c r="F169" s="132"/>
      <c r="G169" s="132"/>
      <c r="H169" s="132"/>
    </row>
    <row r="170" spans="1:11" s="91" customFormat="1">
      <c r="A170" s="132"/>
      <c r="B170" s="132"/>
      <c r="C170" s="132"/>
      <c r="D170" s="132"/>
      <c r="E170" s="132"/>
      <c r="F170" s="132"/>
      <c r="G170" s="132"/>
      <c r="H170" s="132"/>
    </row>
    <row r="171" spans="1:11" s="91" customFormat="1">
      <c r="A171" s="132"/>
      <c r="B171" s="132"/>
      <c r="C171" s="132"/>
      <c r="D171" s="132"/>
      <c r="E171" s="132"/>
      <c r="F171" s="132"/>
      <c r="G171" s="132"/>
      <c r="H171" s="132"/>
    </row>
    <row r="172" spans="1:11" s="91" customFormat="1">
      <c r="A172" s="132"/>
      <c r="B172" s="132"/>
      <c r="C172" s="132"/>
      <c r="D172" s="132"/>
      <c r="E172" s="132"/>
      <c r="F172" s="132"/>
      <c r="G172" s="132"/>
      <c r="H172" s="132"/>
    </row>
    <row r="173" spans="1:11" s="91" customFormat="1">
      <c r="A173" s="132"/>
      <c r="B173" s="132"/>
      <c r="C173" s="132"/>
      <c r="D173" s="132"/>
      <c r="E173" s="132"/>
      <c r="F173" s="132"/>
      <c r="G173" s="132"/>
      <c r="H173" s="132"/>
      <c r="I173" s="100"/>
      <c r="J173" s="100"/>
      <c r="K173" s="100"/>
    </row>
    <row r="174" spans="1:11" s="91" customFormat="1">
      <c r="A174" s="132"/>
      <c r="B174" s="132" t="s">
        <v>66</v>
      </c>
      <c r="C174" s="132"/>
      <c r="D174" s="132"/>
      <c r="E174" s="132"/>
      <c r="F174" s="132"/>
      <c r="G174" s="132"/>
      <c r="H174" s="132"/>
      <c r="I174" s="100"/>
      <c r="J174" s="100"/>
      <c r="K174" s="100"/>
    </row>
    <row r="175" spans="1:11" s="91" customFormat="1">
      <c r="A175" s="132"/>
      <c r="B175" s="132"/>
      <c r="C175" s="132"/>
      <c r="D175" s="132"/>
      <c r="E175" s="132"/>
      <c r="F175" s="132"/>
      <c r="G175" s="132"/>
      <c r="H175" s="132"/>
      <c r="I175" s="100"/>
      <c r="J175" s="100"/>
      <c r="K175" s="100"/>
    </row>
    <row r="176" spans="1:11" s="91" customFormat="1" ht="18">
      <c r="A176" s="132"/>
      <c r="B176" s="133" t="s">
        <v>67</v>
      </c>
      <c r="C176" s="134">
        <f>SUM(Q36:Q57)-SUM(M36:M57)</f>
        <v>0</v>
      </c>
      <c r="D176" s="135" t="s">
        <v>68</v>
      </c>
      <c r="E176" s="132"/>
      <c r="F176" s="132"/>
      <c r="G176" s="132"/>
      <c r="H176" s="132"/>
      <c r="I176" s="100"/>
      <c r="J176" s="100"/>
      <c r="K176" s="100"/>
    </row>
    <row r="177" spans="1:21" s="91" customFormat="1" ht="18">
      <c r="A177" s="132"/>
      <c r="B177" s="133" t="s">
        <v>69</v>
      </c>
      <c r="C177" s="136">
        <f>C176/0.27089717</f>
        <v>0</v>
      </c>
      <c r="D177" s="135" t="s">
        <v>70</v>
      </c>
      <c r="E177" s="134">
        <f>C177/700</f>
        <v>0</v>
      </c>
      <c r="F177" s="135" t="s">
        <v>71</v>
      </c>
      <c r="G177" s="132"/>
      <c r="H177" s="132"/>
      <c r="I177" s="100"/>
      <c r="J177" s="100"/>
      <c r="K177" s="100"/>
    </row>
    <row r="178" spans="1:21" s="91" customFormat="1" ht="18">
      <c r="A178" s="132"/>
      <c r="B178" s="133"/>
      <c r="C178" s="134"/>
      <c r="D178" s="135"/>
      <c r="E178" s="134"/>
      <c r="F178" s="135"/>
      <c r="G178" s="132"/>
      <c r="H178" s="132"/>
      <c r="I178" s="100"/>
      <c r="J178" s="100"/>
      <c r="K178" s="100"/>
    </row>
    <row r="179" spans="1:21" s="91" customFormat="1" ht="18">
      <c r="A179" s="132"/>
      <c r="B179" s="133" t="s">
        <v>72</v>
      </c>
      <c r="C179" s="134">
        <f>SUM(S36:S57)-SUM(O36:O57)</f>
        <v>0</v>
      </c>
      <c r="D179" s="135" t="s">
        <v>73</v>
      </c>
      <c r="E179" s="132"/>
      <c r="F179" s="132"/>
      <c r="G179" s="132"/>
      <c r="H179" s="132"/>
      <c r="I179" s="100"/>
      <c r="J179" s="100"/>
      <c r="K179" s="100"/>
    </row>
    <row r="180" spans="1:21" s="91" customFormat="1">
      <c r="A180" s="132"/>
      <c r="B180" s="132"/>
      <c r="C180" s="132"/>
      <c r="D180" s="132"/>
      <c r="E180" s="132"/>
      <c r="F180" s="132"/>
      <c r="G180" s="132"/>
      <c r="H180" s="132"/>
      <c r="I180" s="100"/>
      <c r="J180" s="100"/>
      <c r="K180" s="100"/>
    </row>
    <row r="181" spans="1:21" s="91" customFormat="1" ht="21">
      <c r="A181" s="132"/>
      <c r="B181" s="137" t="s">
        <v>74</v>
      </c>
      <c r="C181" s="132"/>
      <c r="D181" s="132"/>
      <c r="E181" s="132"/>
      <c r="F181" s="132"/>
      <c r="G181" s="132"/>
      <c r="H181" s="132"/>
      <c r="I181" s="100"/>
      <c r="J181" s="100"/>
      <c r="K181" s="100"/>
    </row>
    <row r="182" spans="1:21" s="91" customFormat="1">
      <c r="A182" s="132"/>
      <c r="B182" s="132"/>
      <c r="C182" s="132"/>
      <c r="D182" s="132"/>
      <c r="E182" s="132"/>
      <c r="F182" s="132"/>
      <c r="G182" s="132"/>
      <c r="H182" s="132"/>
      <c r="I182" s="100"/>
      <c r="J182" s="100"/>
      <c r="K182" s="100"/>
    </row>
    <row r="183" spans="1:21" s="91" customFormat="1" ht="18">
      <c r="A183" s="132"/>
      <c r="B183" s="132"/>
      <c r="C183" s="134">
        <f>SUM(R36:R57)-SUM(N36:N57)</f>
        <v>0</v>
      </c>
      <c r="D183" s="135" t="s">
        <v>75</v>
      </c>
      <c r="E183" s="134">
        <f>SUM(T36:T57)-SUM(P36:P57)</f>
        <v>0</v>
      </c>
      <c r="F183" s="135" t="s">
        <v>76</v>
      </c>
      <c r="G183" s="132"/>
      <c r="H183" s="132"/>
      <c r="I183" s="100"/>
      <c r="J183" s="100"/>
      <c r="K183" s="100"/>
    </row>
    <row r="184" spans="1:21" s="91" customFormat="1">
      <c r="A184" s="132"/>
      <c r="B184" s="132"/>
      <c r="C184" s="132"/>
      <c r="D184" s="132"/>
      <c r="E184" s="132"/>
      <c r="F184" s="132"/>
      <c r="G184" s="132"/>
      <c r="H184" s="132"/>
      <c r="I184" s="100"/>
      <c r="J184" s="100"/>
      <c r="K184" s="100"/>
    </row>
    <row r="185" spans="1:21" s="91" customFormat="1">
      <c r="A185" s="131"/>
      <c r="B185" s="131"/>
      <c r="C185" s="131"/>
      <c r="D185" s="131"/>
      <c r="E185" s="131"/>
      <c r="F185" s="131"/>
      <c r="G185" s="131"/>
      <c r="H185" s="131"/>
    </row>
    <row r="186" spans="1:21" s="4" customFormat="1">
      <c r="A186" s="126"/>
      <c r="B186" s="55"/>
      <c r="C186" s="55"/>
      <c r="D186" s="55"/>
      <c r="E186" s="55"/>
      <c r="F186" s="55"/>
      <c r="G186" s="55"/>
      <c r="H186" s="55"/>
    </row>
    <row r="187" spans="1:21" s="55" customFormat="1">
      <c r="A187" s="126"/>
      <c r="Q187" s="102"/>
      <c r="R187" s="102"/>
      <c r="S187" s="103"/>
      <c r="T187" s="103"/>
      <c r="U187" s="104"/>
    </row>
    <row r="188" spans="1:21" s="55" customFormat="1" ht="21">
      <c r="A188" s="126"/>
      <c r="B188" s="127" t="s">
        <v>77</v>
      </c>
      <c r="Q188" s="102"/>
      <c r="R188" s="102"/>
      <c r="S188" s="103"/>
      <c r="T188" s="103"/>
      <c r="U188" s="104"/>
    </row>
    <row r="189" spans="1:21" s="55" customFormat="1" ht="21">
      <c r="A189" s="126"/>
      <c r="B189" s="127"/>
      <c r="Q189" s="102"/>
      <c r="R189" s="102"/>
      <c r="S189" s="103"/>
      <c r="T189" s="103"/>
      <c r="U189" s="104"/>
    </row>
    <row r="190" spans="1:21" s="55" customFormat="1" ht="18">
      <c r="A190" s="126"/>
      <c r="B190" s="128" t="s">
        <v>78</v>
      </c>
      <c r="C190" s="129" t="str">
        <f>TEXT(SUM(E148:E161)-SUM(D148:D161),"### ### ##0")&amp;" kg CO2-ekv*"</f>
        <v>0 kg CO2-ekv*</v>
      </c>
      <c r="D190" s="130" t="s">
        <v>79</v>
      </c>
      <c r="Q190" s="102"/>
      <c r="R190" s="102"/>
      <c r="S190" s="103"/>
      <c r="T190" s="103"/>
      <c r="U190" s="104"/>
    </row>
    <row r="191" spans="1:21" s="55" customFormat="1" ht="18">
      <c r="A191" s="126"/>
      <c r="B191" s="128" t="s">
        <v>80</v>
      </c>
      <c r="C191" s="129">
        <f>(SUM(E148:E161)-SUM(D148:D161))/0.27089717</f>
        <v>0</v>
      </c>
      <c r="D191" s="130" t="s">
        <v>81</v>
      </c>
      <c r="E191" s="129" t="str">
        <f>ROUND(C191/700,0)&amp;" flyreiser"</f>
        <v>0 flyreiser</v>
      </c>
      <c r="F191" s="130" t="s">
        <v>82</v>
      </c>
      <c r="Q191" s="102"/>
      <c r="R191" s="102"/>
      <c r="S191" s="103"/>
      <c r="T191" s="103"/>
      <c r="U191" s="104"/>
    </row>
    <row r="192" spans="1:21" s="55" customFormat="1" ht="18">
      <c r="A192" s="126"/>
      <c r="B192" s="128"/>
      <c r="C192" s="129"/>
      <c r="D192" s="130"/>
      <c r="E192" s="129"/>
      <c r="F192" s="130"/>
      <c r="Q192" s="102"/>
      <c r="R192" s="102"/>
      <c r="S192" s="103"/>
      <c r="T192" s="103"/>
      <c r="U192" s="104"/>
    </row>
    <row r="193" spans="1:21" s="55" customFormat="1" ht="18">
      <c r="A193" s="126"/>
      <c r="B193" s="128" t="s">
        <v>83</v>
      </c>
      <c r="C193" s="129" t="str">
        <f>TEXT(ROUND(SUM(U38:U51)-SUM(N38:N51),0),"### ### ##0")&amp;" kg CO2-ekv*"</f>
        <v>0 kg CO2-ekv*</v>
      </c>
      <c r="D193" s="130" t="s">
        <v>84</v>
      </c>
      <c r="Q193" s="102"/>
      <c r="R193" s="102"/>
      <c r="S193" s="103"/>
      <c r="T193" s="103"/>
      <c r="U193" s="104"/>
    </row>
    <row r="194" spans="1:21" s="55" customFormat="1">
      <c r="A194" s="126"/>
      <c r="Q194" s="102"/>
      <c r="R194" s="102"/>
      <c r="S194" s="103"/>
      <c r="T194" s="103"/>
      <c r="U194" s="104"/>
    </row>
    <row r="195" spans="1:21" s="55" customFormat="1" ht="21">
      <c r="A195" s="126"/>
      <c r="B195" s="127" t="s">
        <v>85</v>
      </c>
      <c r="Q195" s="102"/>
      <c r="R195" s="102"/>
      <c r="S195" s="103"/>
      <c r="T195" s="103"/>
      <c r="U195" s="104"/>
    </row>
    <row r="196" spans="1:21" s="55" customFormat="1">
      <c r="A196" s="126"/>
      <c r="Q196" s="102"/>
      <c r="R196" s="102"/>
      <c r="S196" s="103"/>
      <c r="T196" s="103"/>
      <c r="U196" s="104"/>
    </row>
    <row r="197" spans="1:21" s="55" customFormat="1" ht="18">
      <c r="A197" s="126"/>
      <c r="C197" s="129" t="str">
        <f>TEXT(SUM(S38:S51)-SUM(T38:T51),"### ### ##0")&amp;" NOK"</f>
        <v>0 NOK</v>
      </c>
      <c r="D197" s="130" t="s">
        <v>86</v>
      </c>
      <c r="E197" s="129" t="str">
        <f>TEXT(SUM(W38:W51)-SUM(X38:X51),"### ### ##0")&amp;" NOK"</f>
        <v>0 NOK</v>
      </c>
      <c r="F197" s="130" t="s">
        <v>87</v>
      </c>
      <c r="Q197" s="102"/>
      <c r="R197" s="102"/>
      <c r="S197" s="103"/>
      <c r="T197" s="103"/>
      <c r="U197" s="104"/>
    </row>
    <row r="198" spans="1:21" s="4" customFormat="1">
      <c r="A198" s="126"/>
      <c r="B198" s="55"/>
      <c r="C198" s="55"/>
      <c r="D198" s="55"/>
      <c r="E198" s="55"/>
      <c r="F198" s="55"/>
      <c r="G198" s="55"/>
      <c r="H198" s="55"/>
    </row>
    <row r="199" spans="1:21" s="4" customFormat="1">
      <c r="A199" s="126"/>
      <c r="B199" s="55"/>
      <c r="C199" s="55"/>
      <c r="D199" s="55"/>
      <c r="E199" s="55"/>
      <c r="F199" s="55"/>
      <c r="G199" s="55"/>
      <c r="H199" s="55"/>
    </row>
    <row r="200" spans="1:21" s="4" customFormat="1">
      <c r="A200" s="126"/>
      <c r="B200" s="55"/>
      <c r="C200" s="55"/>
      <c r="D200" s="55"/>
      <c r="E200" s="55"/>
      <c r="F200" s="55"/>
      <c r="G200" s="55"/>
      <c r="H200" s="55"/>
    </row>
    <row r="201" spans="1:21" s="4" customFormat="1">
      <c r="A201" s="126"/>
      <c r="B201" s="55"/>
      <c r="C201" s="55"/>
      <c r="D201" s="55"/>
      <c r="E201" s="55"/>
      <c r="F201" s="55"/>
      <c r="G201" s="55"/>
      <c r="H201" s="55"/>
    </row>
    <row r="202" spans="1:21" s="4" customFormat="1">
      <c r="A202" s="126"/>
      <c r="B202" s="55"/>
      <c r="C202" s="55"/>
      <c r="D202" s="55"/>
      <c r="E202" s="55"/>
      <c r="F202" s="55"/>
      <c r="G202" s="55"/>
      <c r="H202" s="55"/>
    </row>
    <row r="203" spans="1:21" s="4" customFormat="1">
      <c r="A203" s="126"/>
      <c r="B203" s="55"/>
      <c r="C203" s="55"/>
      <c r="D203" s="55"/>
      <c r="E203" s="55"/>
      <c r="F203" s="55"/>
      <c r="G203" s="55"/>
      <c r="H203" s="55"/>
    </row>
    <row r="204" spans="1:21" s="4" customFormat="1">
      <c r="A204" s="126"/>
      <c r="B204" s="55"/>
      <c r="C204" s="55"/>
      <c r="D204" s="55"/>
      <c r="E204" s="55"/>
      <c r="F204" s="55"/>
      <c r="G204" s="55"/>
      <c r="H204" s="55"/>
    </row>
    <row r="205" spans="1:21" s="4" customFormat="1">
      <c r="A205" s="126"/>
      <c r="B205" s="55"/>
      <c r="C205" s="55"/>
      <c r="D205" s="55"/>
      <c r="E205" s="55"/>
      <c r="F205" s="55"/>
      <c r="G205" s="55"/>
      <c r="H205" s="55"/>
    </row>
    <row r="206" spans="1:21" s="4" customFormat="1">
      <c r="A206" s="126"/>
      <c r="B206" s="55"/>
      <c r="C206" s="55"/>
      <c r="D206" s="55"/>
      <c r="E206" s="55"/>
      <c r="F206" s="55"/>
      <c r="G206" s="55"/>
      <c r="H206" s="55"/>
    </row>
    <row r="207" spans="1:21" s="4" customFormat="1">
      <c r="A207" s="101"/>
      <c r="B207" s="55"/>
      <c r="C207" s="55"/>
      <c r="D207" s="55"/>
      <c r="E207" s="55"/>
      <c r="F207" s="55"/>
      <c r="G207" s="55"/>
      <c r="H207" s="55"/>
    </row>
    <row r="208" spans="1:21" s="4" customFormat="1">
      <c r="A208" s="101"/>
      <c r="B208" s="55"/>
      <c r="C208" s="55"/>
      <c r="D208" s="55"/>
      <c r="E208" s="55"/>
      <c r="F208" s="55"/>
      <c r="G208" s="55"/>
      <c r="H208" s="55"/>
    </row>
    <row r="209" spans="1:8" s="4" customFormat="1">
      <c r="A209" s="101"/>
      <c r="B209" s="55"/>
      <c r="C209" s="55"/>
      <c r="D209" s="55"/>
      <c r="E209" s="55"/>
      <c r="F209" s="55"/>
      <c r="G209" s="55"/>
      <c r="H209" s="55"/>
    </row>
    <row r="210" spans="1:8" s="4" customFormat="1">
      <c r="A210" s="101"/>
      <c r="B210" s="55"/>
      <c r="C210" s="55"/>
      <c r="D210" s="55"/>
      <c r="E210" s="55"/>
      <c r="F210" s="55"/>
      <c r="G210" s="55"/>
      <c r="H210" s="55"/>
    </row>
    <row r="211" spans="1:8" s="4" customFormat="1">
      <c r="A211" s="101"/>
      <c r="B211" s="55"/>
      <c r="C211" s="55"/>
      <c r="D211" s="55"/>
      <c r="E211" s="55"/>
      <c r="F211" s="55"/>
      <c r="G211" s="55"/>
      <c r="H211" s="55"/>
    </row>
    <row r="212" spans="1:8" s="4" customFormat="1">
      <c r="B212" s="101"/>
      <c r="C212" s="101"/>
      <c r="D212" s="101"/>
      <c r="E212" s="101"/>
      <c r="F212" s="101"/>
      <c r="G212" s="101"/>
      <c r="H212" s="101"/>
    </row>
    <row r="213" spans="1:8" s="4" customFormat="1">
      <c r="B213" s="101"/>
      <c r="C213" s="101"/>
      <c r="D213" s="101"/>
      <c r="E213" s="101"/>
      <c r="F213" s="101"/>
      <c r="G213" s="101"/>
      <c r="H213" s="101"/>
    </row>
    <row r="214" spans="1:8" s="4" customFormat="1">
      <c r="B214" s="101"/>
      <c r="C214" s="101"/>
      <c r="D214" s="101"/>
      <c r="E214" s="101"/>
      <c r="F214" s="101"/>
      <c r="G214" s="101"/>
      <c r="H214" s="101"/>
    </row>
    <row r="215" spans="1:8" s="4" customFormat="1">
      <c r="B215" s="101"/>
      <c r="C215" s="101"/>
      <c r="D215" s="101"/>
      <c r="E215" s="101"/>
      <c r="F215" s="101"/>
      <c r="G215" s="101"/>
      <c r="H215" s="101"/>
    </row>
    <row r="216" spans="1:8" s="4" customFormat="1">
      <c r="B216" s="101"/>
      <c r="C216" s="101"/>
      <c r="D216" s="101"/>
      <c r="E216" s="101"/>
      <c r="F216" s="101"/>
      <c r="G216" s="101"/>
      <c r="H216" s="101"/>
    </row>
    <row r="217" spans="1:8" s="4" customFormat="1">
      <c r="B217" s="101"/>
      <c r="C217" s="101"/>
      <c r="D217" s="101"/>
      <c r="E217" s="101"/>
      <c r="F217" s="101"/>
      <c r="G217" s="101"/>
      <c r="H217" s="101"/>
    </row>
    <row r="218" spans="1:8" s="4" customFormat="1">
      <c r="B218" s="101"/>
      <c r="C218" s="101"/>
      <c r="D218" s="101"/>
      <c r="E218" s="101"/>
      <c r="F218" s="101"/>
      <c r="G218" s="101"/>
      <c r="H218" s="101"/>
    </row>
    <row r="219" spans="1:8" s="4" customFormat="1">
      <c r="B219" s="101"/>
      <c r="C219" s="101"/>
      <c r="D219" s="101"/>
      <c r="E219" s="101"/>
      <c r="F219" s="101"/>
      <c r="G219" s="101"/>
      <c r="H219" s="101"/>
    </row>
    <row r="220" spans="1:8" s="4" customFormat="1">
      <c r="B220" s="101"/>
      <c r="C220" s="101"/>
      <c r="D220" s="101"/>
      <c r="E220" s="101"/>
      <c r="F220" s="101"/>
      <c r="G220" s="101"/>
      <c r="H220" s="101"/>
    </row>
    <row r="221" spans="1:8" s="4" customFormat="1">
      <c r="B221" s="101"/>
      <c r="C221" s="101"/>
      <c r="D221" s="101"/>
      <c r="E221" s="101"/>
      <c r="F221" s="101"/>
      <c r="G221" s="101"/>
      <c r="H221" s="101"/>
    </row>
    <row r="222" spans="1:8" s="4" customFormat="1"/>
    <row r="223" spans="1:8" s="4" customFormat="1"/>
    <row r="224" spans="1:8" s="4" customFormat="1"/>
    <row r="225" s="4" customFormat="1"/>
    <row r="226" s="4" customFormat="1"/>
    <row r="227" s="4" customFormat="1"/>
    <row r="228" s="4" customFormat="1"/>
    <row r="229" s="4" customFormat="1"/>
    <row r="230" s="4" customFormat="1"/>
    <row r="231" s="4" customFormat="1"/>
    <row r="232" s="4" customFormat="1"/>
    <row r="233" s="4" customFormat="1"/>
    <row r="234" s="4" customFormat="1"/>
    <row r="235" s="4" customFormat="1"/>
    <row r="236" s="4" customFormat="1"/>
    <row r="237" s="4" customFormat="1"/>
    <row r="238" s="4" customFormat="1"/>
    <row r="239" s="4" customFormat="1"/>
    <row r="240" s="4" customFormat="1"/>
    <row r="241" s="4" customFormat="1"/>
    <row r="242" s="4" customFormat="1"/>
    <row r="243" s="4" customFormat="1"/>
    <row r="244" s="4" customFormat="1"/>
    <row r="245" s="4" customFormat="1"/>
    <row r="246" s="4" customFormat="1"/>
    <row r="247" s="4" customFormat="1"/>
    <row r="248" s="4" customFormat="1"/>
    <row r="249" s="4" customFormat="1"/>
    <row r="250" s="4" customFormat="1"/>
    <row r="251" s="4" customFormat="1"/>
    <row r="252" s="4" customFormat="1"/>
    <row r="253" s="4" customFormat="1"/>
    <row r="254" s="4" customFormat="1"/>
    <row r="255" s="4" customFormat="1"/>
    <row r="256" s="4" customFormat="1"/>
    <row r="257" s="4" customFormat="1"/>
    <row r="258" s="4" customFormat="1"/>
    <row r="259" s="4" customFormat="1"/>
    <row r="260" s="4" customFormat="1"/>
    <row r="261" s="4" customFormat="1"/>
    <row r="262" s="4" customFormat="1"/>
    <row r="263" s="4" customFormat="1"/>
    <row r="264" s="4" customFormat="1"/>
    <row r="265" s="4" customFormat="1"/>
    <row r="266" s="4" customFormat="1"/>
    <row r="267" s="4" customFormat="1"/>
    <row r="268" s="4" customFormat="1"/>
    <row r="269" s="4" customFormat="1"/>
    <row r="270" s="4" customFormat="1"/>
    <row r="271" s="4" customFormat="1"/>
    <row r="272" s="4" customFormat="1"/>
    <row r="273" s="4" customFormat="1"/>
    <row r="274" s="4" customFormat="1"/>
    <row r="275" s="4" customFormat="1"/>
    <row r="276" s="4" customFormat="1"/>
    <row r="277" s="4" customFormat="1"/>
    <row r="278" s="4" customFormat="1"/>
    <row r="279" s="4" customFormat="1"/>
    <row r="280" s="4" customFormat="1"/>
    <row r="281" s="4" customFormat="1"/>
    <row r="282" s="4" customFormat="1"/>
    <row r="283" s="4" customFormat="1"/>
    <row r="284" s="4" customFormat="1"/>
    <row r="285" s="4" customFormat="1"/>
    <row r="286" s="4" customFormat="1"/>
    <row r="287" s="4" customFormat="1"/>
    <row r="288" s="4" customFormat="1"/>
    <row r="289" s="4" customFormat="1"/>
    <row r="290" s="4" customFormat="1"/>
    <row r="291" s="4" customFormat="1"/>
    <row r="292" s="4" customFormat="1"/>
    <row r="293" s="4" customFormat="1"/>
    <row r="294" s="4" customFormat="1"/>
    <row r="295" s="4" customFormat="1"/>
    <row r="296" s="4" customFormat="1"/>
    <row r="297" s="4" customFormat="1"/>
    <row r="298" s="4" customFormat="1"/>
    <row r="299" s="4" customFormat="1"/>
    <row r="300" s="4" customFormat="1"/>
    <row r="301" s="4" customFormat="1"/>
    <row r="302" s="4" customFormat="1"/>
    <row r="303" s="4" customFormat="1"/>
    <row r="304" s="4" customFormat="1"/>
    <row r="305" s="4" customFormat="1"/>
    <row r="306" s="4" customFormat="1"/>
    <row r="307" s="4" customFormat="1"/>
    <row r="308" s="4" customFormat="1"/>
    <row r="309" s="4" customFormat="1"/>
    <row r="310" s="4" customFormat="1"/>
    <row r="311" s="4" customFormat="1"/>
    <row r="312" s="4" customFormat="1"/>
    <row r="313" s="4" customFormat="1"/>
    <row r="314" s="4" customFormat="1"/>
    <row r="315" s="4" customFormat="1"/>
    <row r="316" s="4" customFormat="1"/>
    <row r="317" s="4" customFormat="1"/>
    <row r="318" s="4" customFormat="1"/>
    <row r="319" s="4" customFormat="1"/>
    <row r="320" s="4" customFormat="1"/>
    <row r="321" s="4" customFormat="1"/>
    <row r="322" s="4" customFormat="1"/>
    <row r="323" s="4" customFormat="1"/>
    <row r="324" s="4" customFormat="1"/>
    <row r="325" s="4" customFormat="1"/>
    <row r="326" s="4" customFormat="1"/>
    <row r="327" s="4" customFormat="1"/>
    <row r="328" s="4" customFormat="1"/>
    <row r="329" s="4" customFormat="1"/>
    <row r="330" s="4" customFormat="1"/>
    <row r="331" s="4" customFormat="1"/>
    <row r="332" s="4" customFormat="1"/>
    <row r="333" s="4" customFormat="1"/>
    <row r="334" s="4" customFormat="1"/>
    <row r="335" s="4" customFormat="1"/>
    <row r="336" s="4" customFormat="1"/>
    <row r="337" s="4" customFormat="1"/>
    <row r="338" s="4" customFormat="1"/>
    <row r="339" s="4" customFormat="1"/>
    <row r="340" s="4" customFormat="1"/>
    <row r="341" s="4" customFormat="1"/>
    <row r="342" s="4" customFormat="1"/>
    <row r="343" s="4" customFormat="1"/>
    <row r="344" s="4" customFormat="1"/>
    <row r="345" s="4" customFormat="1"/>
    <row r="346" s="4" customFormat="1"/>
    <row r="347" s="4" customFormat="1"/>
    <row r="348" s="4" customFormat="1"/>
    <row r="349" s="4" customFormat="1"/>
    <row r="350" s="4" customFormat="1"/>
    <row r="351" s="4" customFormat="1"/>
    <row r="352" s="4" customFormat="1"/>
    <row r="353" s="4" customFormat="1"/>
    <row r="354" s="4" customFormat="1"/>
    <row r="355" s="4" customFormat="1"/>
    <row r="356" s="4" customFormat="1"/>
    <row r="357" s="4" customFormat="1"/>
    <row r="358" s="4" customFormat="1"/>
    <row r="359" s="4" customFormat="1"/>
    <row r="360" s="4" customFormat="1"/>
    <row r="361" s="4" customFormat="1"/>
    <row r="362" s="4" customFormat="1"/>
    <row r="363" s="4" customFormat="1"/>
    <row r="364" s="4" customFormat="1"/>
    <row r="365" s="4" customFormat="1"/>
    <row r="366" s="4" customFormat="1"/>
    <row r="367" s="4" customFormat="1"/>
    <row r="368" s="4" customFormat="1"/>
    <row r="369" s="4" customFormat="1"/>
    <row r="370" s="4" customFormat="1"/>
    <row r="371" s="4" customFormat="1"/>
    <row r="372" s="4" customFormat="1"/>
    <row r="373" s="4" customFormat="1"/>
    <row r="374" s="4" customFormat="1"/>
    <row r="375" s="4" customFormat="1"/>
    <row r="376" s="4" customFormat="1"/>
    <row r="377" s="4" customFormat="1"/>
    <row r="378" s="4" customFormat="1"/>
    <row r="379" s="4" customFormat="1"/>
    <row r="380" s="4" customFormat="1"/>
    <row r="381" s="4" customFormat="1"/>
    <row r="382" s="4" customFormat="1"/>
    <row r="383" s="4" customFormat="1"/>
    <row r="384" s="4" customFormat="1"/>
    <row r="385" s="4" customFormat="1"/>
    <row r="386" s="4" customFormat="1"/>
    <row r="387" s="4" customFormat="1"/>
    <row r="388" s="4" customFormat="1"/>
    <row r="389" s="4" customFormat="1"/>
    <row r="390" s="4" customFormat="1"/>
    <row r="391" s="4" customFormat="1"/>
    <row r="392" s="4" customFormat="1"/>
    <row r="393" s="4" customFormat="1"/>
    <row r="394" s="4" customFormat="1"/>
    <row r="395" s="4" customFormat="1"/>
    <row r="396" s="4" customFormat="1"/>
    <row r="397" s="4" customFormat="1"/>
    <row r="398" s="4" customFormat="1"/>
    <row r="399" s="4" customFormat="1"/>
    <row r="400" s="4" customFormat="1"/>
    <row r="401" s="4" customFormat="1"/>
    <row r="402" s="4" customFormat="1"/>
    <row r="403" s="4" customFormat="1"/>
    <row r="404" s="4" customFormat="1"/>
    <row r="405" s="4" customFormat="1"/>
    <row r="406" s="4" customFormat="1"/>
    <row r="407" s="4" customFormat="1"/>
    <row r="408" s="4" customFormat="1"/>
    <row r="409" s="4" customFormat="1"/>
    <row r="410" s="4" customFormat="1"/>
    <row r="411" s="4" customFormat="1"/>
    <row r="412" s="4" customFormat="1"/>
    <row r="413" s="4" customFormat="1"/>
    <row r="414" s="4" customFormat="1"/>
    <row r="415" s="4" customFormat="1"/>
    <row r="416" s="4" customFormat="1"/>
    <row r="417" s="4" customFormat="1"/>
    <row r="418" s="4" customFormat="1"/>
    <row r="419" s="4" customFormat="1"/>
    <row r="420" s="4" customFormat="1"/>
    <row r="421" s="4" customFormat="1"/>
    <row r="422" s="4" customFormat="1"/>
    <row r="423" s="4" customFormat="1"/>
    <row r="424" s="4" customFormat="1"/>
    <row r="425" s="4" customFormat="1"/>
    <row r="426" s="4" customFormat="1"/>
    <row r="427" s="4" customFormat="1"/>
    <row r="428" s="4" customFormat="1"/>
    <row r="429" s="4" customFormat="1"/>
    <row r="430" s="4" customFormat="1"/>
    <row r="431" s="4" customFormat="1"/>
    <row r="432" s="4" customFormat="1"/>
    <row r="433" s="4" customFormat="1"/>
    <row r="434" s="4" customFormat="1"/>
    <row r="435" s="4" customFormat="1"/>
    <row r="436" s="4" customFormat="1"/>
    <row r="437" s="4" customFormat="1"/>
    <row r="438" s="4" customFormat="1"/>
    <row r="439" s="4" customFormat="1"/>
    <row r="440" s="4" customFormat="1"/>
    <row r="441" s="4" customFormat="1"/>
    <row r="442" s="4" customFormat="1"/>
    <row r="443" s="4" customFormat="1"/>
    <row r="444" s="4" customFormat="1"/>
    <row r="445" s="4" customFormat="1"/>
    <row r="446" s="4" customFormat="1"/>
    <row r="447" s="4" customFormat="1"/>
    <row r="448" s="4" customFormat="1"/>
    <row r="449" s="4" customFormat="1"/>
    <row r="450" s="4" customFormat="1"/>
    <row r="451" s="4" customFormat="1"/>
    <row r="452" s="4" customFormat="1"/>
    <row r="453" s="4" customFormat="1"/>
    <row r="454" s="4" customFormat="1"/>
    <row r="455" s="4" customFormat="1"/>
    <row r="456" s="4" customFormat="1"/>
    <row r="457" s="4" customFormat="1"/>
    <row r="458" s="4" customFormat="1"/>
    <row r="459" s="4" customFormat="1"/>
    <row r="460" s="4" customFormat="1"/>
    <row r="461" s="4" customFormat="1"/>
    <row r="462" s="4" customFormat="1"/>
    <row r="463" s="4" customFormat="1"/>
    <row r="464" s="4" customFormat="1"/>
    <row r="465" s="4" customFormat="1"/>
    <row r="466" s="4" customFormat="1"/>
    <row r="467" s="4" customFormat="1"/>
    <row r="468" s="4" customFormat="1"/>
    <row r="469" s="4" customFormat="1"/>
    <row r="470" s="4" customFormat="1"/>
    <row r="471" s="4" customFormat="1"/>
    <row r="472" s="4" customFormat="1"/>
    <row r="473" s="4" customFormat="1"/>
    <row r="474" s="4" customFormat="1"/>
    <row r="475" s="4" customFormat="1"/>
    <row r="476" s="4" customFormat="1"/>
    <row r="477" s="4" customFormat="1"/>
    <row r="478" s="4" customFormat="1"/>
    <row r="479" s="4" customFormat="1"/>
    <row r="480" s="4" customFormat="1"/>
    <row r="481" s="4" customFormat="1"/>
    <row r="482" s="4" customFormat="1"/>
    <row r="483" s="4" customFormat="1"/>
    <row r="484" s="4" customFormat="1"/>
    <row r="485" s="4" customFormat="1"/>
    <row r="486" s="4" customFormat="1"/>
    <row r="487" s="4" customFormat="1"/>
    <row r="488" s="4" customFormat="1"/>
    <row r="489" s="4" customFormat="1"/>
    <row r="490" s="4" customFormat="1"/>
    <row r="491" s="4" customFormat="1"/>
    <row r="492" s="4" customFormat="1"/>
    <row r="493" s="4" customFormat="1"/>
    <row r="494" s="4" customFormat="1"/>
    <row r="495" s="4" customFormat="1"/>
    <row r="496" s="4" customFormat="1"/>
    <row r="497" s="4" customFormat="1"/>
    <row r="498" s="4" customFormat="1"/>
    <row r="499" s="4" customFormat="1"/>
    <row r="500" s="4" customFormat="1"/>
    <row r="501" s="4" customFormat="1"/>
    <row r="502" s="4" customFormat="1"/>
    <row r="503" s="4" customFormat="1"/>
    <row r="504" s="4" customFormat="1"/>
    <row r="505" s="4" customFormat="1"/>
    <row r="506" s="4" customFormat="1"/>
    <row r="507" s="4" customFormat="1"/>
    <row r="508" s="4" customFormat="1"/>
    <row r="509" s="4" customFormat="1"/>
    <row r="510" s="4" customFormat="1"/>
    <row r="511" s="4" customFormat="1"/>
    <row r="512" s="4" customFormat="1"/>
    <row r="513" s="4" customFormat="1"/>
    <row r="514" s="4" customFormat="1"/>
    <row r="515" s="4" customFormat="1"/>
    <row r="516" s="4" customFormat="1"/>
    <row r="517" s="4" customFormat="1"/>
    <row r="518" s="4" customFormat="1"/>
    <row r="519" s="4" customFormat="1"/>
    <row r="520" s="4" customFormat="1"/>
    <row r="521" s="4" customFormat="1"/>
  </sheetData>
  <sheetProtection algorithmName="SHA-512" hashValue="ZfDJCi33njNbrm7D0S1yHTa71Pb4/3u1eY+B2cP/MBCOKo11OvkVgjvobTvqdmSqdZ7ELu4094F8sNx66vLMNQ==" saltValue="AHfXwCtD399KGFOm+iQHMg==" spinCount="100000" sheet="1" objects="1" scenarios="1"/>
  <mergeCells count="4">
    <mergeCell ref="B146:B147"/>
    <mergeCell ref="C146:C147"/>
    <mergeCell ref="D146:E146"/>
    <mergeCell ref="F146:G146"/>
  </mergeCells>
  <conditionalFormatting sqref="C36">
    <cfRule type="expression" dxfId="1" priority="3">
      <formula>AND($J$38:$J$51)</formula>
    </cfRule>
  </conditionalFormatting>
  <conditionalFormatting sqref="C38:C51">
    <cfRule type="expression" dxfId="0" priority="1">
      <formula>NOT($J38)</formula>
    </cfRule>
  </conditionalFormatting>
  <dataValidations count="4">
    <dataValidation type="list" allowBlank="1" showInputMessage="1" showErrorMessage="1" sqref="C38:C51" xr:uid="{00000000-0002-0000-0300-000000000000}">
      <formula1>INDIRECT(B38)</formula1>
    </dataValidation>
    <dataValidation type="decimal" allowBlank="1" showInputMessage="1" showErrorMessage="1" sqref="F38:G51" xr:uid="{00000000-0002-0000-0300-000001000000}">
      <formula1>0</formula1>
      <formula2>100000</formula2>
    </dataValidation>
    <dataValidation type="list" allowBlank="1" showInputMessage="1" showErrorMessage="1" sqref="B38:B51" xr:uid="{00000000-0002-0000-0300-000002000000}">
      <formula1>Pääluokka</formula1>
    </dataValidation>
    <dataValidation type="list" allowBlank="1" showInputMessage="1" showErrorMessage="1" sqref="B108" xr:uid="{00000000-0002-0000-0300-000003000000}">
      <formula1>$L$37:$O$37</formula1>
    </dataValidation>
  </dataValidations>
  <hyperlinks>
    <hyperlink ref="A1" location="Johdanto!A1" display="Johdanto!A1" xr:uid="{00000000-0004-0000-0300-000000000000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'Tietokanta (piilotetaan käytön '!$A$41:$A$45</xm:f>
          </x14:formula1>
          <xm:sqref>E38:E51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73843-33FE-4862-93CB-02B6CA34A825}">
  <sheetPr>
    <tabColor rgb="FF09A981"/>
  </sheetPr>
  <dimension ref="A1:P172"/>
  <sheetViews>
    <sheetView showGridLines="0" zoomScale="60" zoomScaleNormal="60" workbookViewId="0">
      <pane ySplit="1" topLeftCell="A2" activePane="bottomLeft" state="frozen"/>
      <selection pane="bottomLeft" activeCell="D24" sqref="D24"/>
    </sheetView>
  </sheetViews>
  <sheetFormatPr defaultColWidth="11" defaultRowHeight="14.45"/>
  <cols>
    <col min="1" max="1" width="15.140625" customWidth="1"/>
    <col min="2" max="2" width="34.5703125" customWidth="1"/>
    <col min="3" max="3" width="46.140625" customWidth="1"/>
    <col min="4" max="4" width="37.28515625" customWidth="1"/>
    <col min="5" max="5" width="49" customWidth="1"/>
    <col min="6" max="6" width="82" bestFit="1" customWidth="1"/>
  </cols>
  <sheetData>
    <row r="1" spans="1:9" s="2" customFormat="1" ht="66" customHeight="1">
      <c r="A1" s="15" t="s">
        <v>0</v>
      </c>
    </row>
    <row r="2" spans="1:9" s="12" customFormat="1" ht="53.25" customHeight="1">
      <c r="B2" s="11"/>
    </row>
    <row r="3" spans="1:9" s="12" customFormat="1"/>
    <row r="4" spans="1:9" s="12" customFormat="1"/>
    <row r="5" spans="1:9" s="12" customFormat="1"/>
    <row r="6" spans="1:9" s="12" customFormat="1"/>
    <row r="7" spans="1:9" s="12" customFormat="1"/>
    <row r="8" spans="1:9" s="12" customFormat="1"/>
    <row r="9" spans="1:9" s="12" customFormat="1" ht="86.65" customHeight="1"/>
    <row r="10" spans="1:9" ht="28.15" customHeight="1">
      <c r="I10" s="1"/>
    </row>
    <row r="11" spans="1:9" ht="48.75" customHeight="1"/>
    <row r="12" spans="1:9" ht="57" customHeight="1"/>
    <row r="13" spans="1:9" ht="30" customHeight="1"/>
    <row r="14" spans="1:9" ht="30" customHeight="1"/>
    <row r="15" spans="1:9" ht="30" customHeight="1"/>
    <row r="16" spans="1:9" ht="30" customHeight="1"/>
    <row r="17" spans="2:16" ht="30" customHeight="1"/>
    <row r="18" spans="2:16" ht="30" customHeight="1"/>
    <row r="19" spans="2:16" ht="30" customHeight="1"/>
    <row r="22" spans="2:16">
      <c r="M22" s="161"/>
      <c r="N22" s="161"/>
      <c r="O22" s="161"/>
      <c r="P22" s="161"/>
    </row>
    <row r="24" spans="2:16" ht="28.9">
      <c r="B24" s="19" t="s">
        <v>88</v>
      </c>
      <c r="C24" s="19" t="s">
        <v>89</v>
      </c>
      <c r="D24" s="19" t="s">
        <v>90</v>
      </c>
      <c r="E24" s="19" t="s">
        <v>91</v>
      </c>
      <c r="F24" s="19" t="s">
        <v>92</v>
      </c>
    </row>
    <row r="25" spans="2:16" ht="30" customHeight="1">
      <c r="B25" s="160" t="str">
        <f>'Tietokanta (piilotetaan käytön '!B2</f>
        <v xml:space="preserve">Tietokoneen_näyttö </v>
      </c>
      <c r="C25" s="10" t="s">
        <v>93</v>
      </c>
      <c r="D25" s="13">
        <v>5</v>
      </c>
      <c r="E25" s="14">
        <v>372</v>
      </c>
      <c r="F25" s="18">
        <v>2900</v>
      </c>
    </row>
    <row r="26" spans="2:16" ht="30" customHeight="1">
      <c r="B26" s="157"/>
      <c r="C26" s="10" t="s">
        <v>94</v>
      </c>
      <c r="D26" s="13">
        <v>5</v>
      </c>
      <c r="E26" s="14">
        <v>336.71495373048003</v>
      </c>
      <c r="F26" s="18">
        <v>2900</v>
      </c>
    </row>
    <row r="27" spans="2:16" ht="30" customHeight="1">
      <c r="B27" s="157"/>
      <c r="C27" s="10" t="s">
        <v>95</v>
      </c>
      <c r="D27" s="13">
        <v>5</v>
      </c>
      <c r="E27" s="14">
        <v>343.25962463851937</v>
      </c>
      <c r="F27" s="18">
        <v>2900</v>
      </c>
    </row>
    <row r="28" spans="2:16" ht="30" customHeight="1">
      <c r="B28" s="157"/>
      <c r="C28" s="10" t="s">
        <v>96</v>
      </c>
      <c r="D28" s="13">
        <v>5</v>
      </c>
      <c r="E28" s="14">
        <v>353.07663100057835</v>
      </c>
      <c r="F28" s="18">
        <v>2900</v>
      </c>
    </row>
    <row r="29" spans="2:16" ht="30" customHeight="1">
      <c r="B29" s="157"/>
      <c r="C29" s="10" t="s">
        <v>97</v>
      </c>
      <c r="D29" s="13">
        <v>5</v>
      </c>
      <c r="E29" s="14">
        <v>362.89363736263738</v>
      </c>
      <c r="F29" s="18">
        <v>2900</v>
      </c>
    </row>
    <row r="30" spans="2:16" ht="30" customHeight="1">
      <c r="B30" s="157"/>
      <c r="C30" s="10" t="s">
        <v>98</v>
      </c>
      <c r="D30" s="13">
        <v>5</v>
      </c>
      <c r="E30" s="14">
        <v>369.43830827067666</v>
      </c>
      <c r="F30" s="18">
        <v>2900</v>
      </c>
    </row>
    <row r="31" spans="2:16" ht="30" customHeight="1">
      <c r="B31" s="158"/>
      <c r="C31" s="10" t="s">
        <v>99</v>
      </c>
      <c r="D31" s="13">
        <v>5</v>
      </c>
      <c r="E31" s="14">
        <v>375.98297917871599</v>
      </c>
      <c r="F31" s="18">
        <v>2900</v>
      </c>
    </row>
    <row r="32" spans="2:16" ht="30" customHeight="1">
      <c r="B32" s="159" t="str">
        <f>'Tietokanta (piilotetaan käytön '!B9</f>
        <v xml:space="preserve">Kannettava_tietokone </v>
      </c>
      <c r="C32" s="10" t="s">
        <v>93</v>
      </c>
      <c r="D32" s="13">
        <v>3</v>
      </c>
      <c r="E32" s="14">
        <v>233.70512500000007</v>
      </c>
      <c r="F32" s="18">
        <v>10150</v>
      </c>
    </row>
    <row r="33" spans="2:6" ht="30" customHeight="1">
      <c r="B33" s="159"/>
      <c r="C33" s="10" t="s">
        <v>100</v>
      </c>
      <c r="D33" s="13">
        <v>3</v>
      </c>
      <c r="E33" s="14">
        <v>142.00122834079281</v>
      </c>
      <c r="F33" s="18">
        <v>10150</v>
      </c>
    </row>
    <row r="34" spans="2:6" ht="30" customHeight="1">
      <c r="B34" s="159"/>
      <c r="C34" s="10" t="s">
        <v>101</v>
      </c>
      <c r="D34" s="13">
        <v>3</v>
      </c>
      <c r="E34" s="14">
        <v>173.44256433823529</v>
      </c>
      <c r="F34" s="18">
        <v>10150</v>
      </c>
    </row>
    <row r="35" spans="2:6" ht="30" customHeight="1">
      <c r="B35" s="159"/>
      <c r="C35" s="10" t="s">
        <v>102</v>
      </c>
      <c r="D35" s="13">
        <v>3</v>
      </c>
      <c r="E35" s="14">
        <v>204.88390033567771</v>
      </c>
      <c r="F35" s="18">
        <v>10150</v>
      </c>
    </row>
    <row r="36" spans="2:6" ht="30" customHeight="1">
      <c r="B36" s="159"/>
      <c r="C36" s="10" t="s">
        <v>103</v>
      </c>
      <c r="D36" s="13">
        <v>3</v>
      </c>
      <c r="E36" s="14">
        <v>236.32523633312019</v>
      </c>
      <c r="F36" s="18">
        <v>10150</v>
      </c>
    </row>
    <row r="37" spans="2:6" ht="30" customHeight="1">
      <c r="B37" s="159"/>
      <c r="C37" s="10" t="s">
        <v>104</v>
      </c>
      <c r="D37" s="13">
        <v>3</v>
      </c>
      <c r="E37" s="14">
        <v>267.76657233056261</v>
      </c>
      <c r="F37" s="18">
        <v>10150</v>
      </c>
    </row>
    <row r="38" spans="2:6" ht="30" customHeight="1">
      <c r="B38" s="159" t="str">
        <f>'Tietokanta (piilotetaan käytön '!B15</f>
        <v xml:space="preserve">Pöytätietokone </v>
      </c>
      <c r="C38" s="10" t="s">
        <v>93</v>
      </c>
      <c r="D38" s="13">
        <v>4</v>
      </c>
      <c r="E38" s="14">
        <v>367</v>
      </c>
      <c r="F38" s="18">
        <v>10800</v>
      </c>
    </row>
    <row r="39" spans="2:6" ht="30" customHeight="1">
      <c r="B39" s="159"/>
      <c r="C39" s="10" t="s">
        <v>105</v>
      </c>
      <c r="D39" s="13">
        <v>4</v>
      </c>
      <c r="E39" s="14">
        <v>417</v>
      </c>
      <c r="F39" s="18">
        <v>10800</v>
      </c>
    </row>
    <row r="40" spans="2:6" ht="30" customHeight="1">
      <c r="B40" s="159"/>
      <c r="C40" s="10" t="s">
        <v>106</v>
      </c>
      <c r="D40" s="13">
        <v>4</v>
      </c>
      <c r="E40" s="14">
        <v>317</v>
      </c>
      <c r="F40" s="18">
        <v>10800</v>
      </c>
    </row>
    <row r="41" spans="2:6" ht="30" customHeight="1">
      <c r="B41" s="156" t="s">
        <v>107</v>
      </c>
      <c r="C41" s="10" t="s">
        <v>93</v>
      </c>
      <c r="D41" s="13" t="s">
        <v>108</v>
      </c>
      <c r="E41" s="14">
        <v>50</v>
      </c>
      <c r="F41" s="18">
        <v>6100</v>
      </c>
    </row>
    <row r="42" spans="2:6" ht="30" customHeight="1">
      <c r="B42" s="157"/>
      <c r="C42" s="10" t="s">
        <v>109</v>
      </c>
      <c r="D42" s="13" t="s">
        <v>108</v>
      </c>
      <c r="E42" s="14">
        <v>32.972472216137199</v>
      </c>
      <c r="F42" s="18">
        <v>6100</v>
      </c>
    </row>
    <row r="43" spans="2:6" ht="30" customHeight="1">
      <c r="B43" s="157"/>
      <c r="C43" s="10" t="s">
        <v>110</v>
      </c>
      <c r="D43" s="13" t="s">
        <v>108</v>
      </c>
      <c r="E43" s="14">
        <v>40.099914413533483</v>
      </c>
      <c r="F43" s="18">
        <v>6100</v>
      </c>
    </row>
    <row r="44" spans="2:6" ht="30" customHeight="1">
      <c r="B44" s="157"/>
      <c r="C44" s="10" t="s">
        <v>111</v>
      </c>
      <c r="D44" s="13" t="s">
        <v>108</v>
      </c>
      <c r="E44" s="14">
        <v>47.22735661092976</v>
      </c>
      <c r="F44" s="18">
        <v>6100</v>
      </c>
    </row>
    <row r="45" spans="2:6" ht="30" customHeight="1">
      <c r="B45" s="158"/>
      <c r="C45" s="10" t="s">
        <v>112</v>
      </c>
      <c r="D45" s="13" t="s">
        <v>108</v>
      </c>
      <c r="E45" s="14">
        <v>54.354798808326045</v>
      </c>
      <c r="F45" s="18">
        <v>6100</v>
      </c>
    </row>
    <row r="46" spans="2:6" ht="30" customHeight="1">
      <c r="B46" s="156" t="s">
        <v>113</v>
      </c>
      <c r="C46" s="10" t="s">
        <v>93</v>
      </c>
      <c r="D46" s="13">
        <v>2</v>
      </c>
      <c r="E46" s="14">
        <v>68.433846153846147</v>
      </c>
      <c r="F46" s="18">
        <v>3300</v>
      </c>
    </row>
    <row r="47" spans="2:6" ht="30" customHeight="1">
      <c r="B47" s="157"/>
      <c r="C47" s="10" t="s">
        <v>114</v>
      </c>
      <c r="D47" s="13">
        <v>2</v>
      </c>
      <c r="E47" s="14">
        <v>49.057552828120599</v>
      </c>
      <c r="F47" s="18">
        <v>3300</v>
      </c>
    </row>
    <row r="48" spans="2:6" ht="30" customHeight="1">
      <c r="B48" s="157"/>
      <c r="C48" s="10" t="s">
        <v>115</v>
      </c>
      <c r="D48" s="13">
        <v>2</v>
      </c>
      <c r="E48" s="14">
        <v>61.240953710076205</v>
      </c>
      <c r="F48" s="18">
        <v>3300</v>
      </c>
    </row>
    <row r="49" spans="2:6" ht="30" customHeight="1">
      <c r="B49" s="158"/>
      <c r="C49" s="10" t="s">
        <v>100</v>
      </c>
      <c r="D49" s="13">
        <v>2</v>
      </c>
      <c r="E49" s="14">
        <v>73.424354592031804</v>
      </c>
      <c r="F49" s="18">
        <v>3300</v>
      </c>
    </row>
    <row r="50" spans="2:6" ht="30" customHeight="1">
      <c r="B50" s="156" t="s">
        <v>116</v>
      </c>
      <c r="C50" s="10" t="s">
        <v>93</v>
      </c>
      <c r="D50" s="13">
        <v>5</v>
      </c>
      <c r="E50" s="14">
        <v>1016</v>
      </c>
      <c r="F50" s="17" t="s">
        <v>117</v>
      </c>
    </row>
    <row r="51" spans="2:6" ht="30" customHeight="1">
      <c r="B51" s="157"/>
      <c r="C51" s="10" t="s">
        <v>118</v>
      </c>
      <c r="D51" s="13">
        <v>5</v>
      </c>
      <c r="E51" s="14">
        <v>783.54036849483089</v>
      </c>
      <c r="F51" s="17" t="s">
        <v>117</v>
      </c>
    </row>
    <row r="52" spans="2:6" ht="30" customHeight="1">
      <c r="B52" s="157"/>
      <c r="C52" s="10" t="s">
        <v>119</v>
      </c>
      <c r="D52" s="13">
        <v>5</v>
      </c>
      <c r="E52" s="14">
        <v>869.30400306640968</v>
      </c>
      <c r="F52" s="17" t="s">
        <v>117</v>
      </c>
    </row>
    <row r="53" spans="2:6" ht="30" customHeight="1">
      <c r="B53" s="157"/>
      <c r="C53" s="10" t="s">
        <v>120</v>
      </c>
      <c r="D53" s="13">
        <v>5</v>
      </c>
      <c r="E53" s="14">
        <v>955.06763763798835</v>
      </c>
      <c r="F53" s="17" t="s">
        <v>117</v>
      </c>
    </row>
    <row r="54" spans="2:6" ht="30" customHeight="1">
      <c r="B54" s="157"/>
      <c r="C54" s="10" t="s">
        <v>121</v>
      </c>
      <c r="D54" s="13">
        <v>5</v>
      </c>
      <c r="E54" s="14">
        <v>1040.831272209567</v>
      </c>
      <c r="F54" s="17" t="s">
        <v>117</v>
      </c>
    </row>
    <row r="55" spans="2:6" ht="30" customHeight="1">
      <c r="B55" s="157"/>
      <c r="C55" s="10" t="s">
        <v>122</v>
      </c>
      <c r="D55" s="13">
        <v>5</v>
      </c>
      <c r="E55" s="14">
        <v>1126.5949067811459</v>
      </c>
      <c r="F55" s="17" t="s">
        <v>117</v>
      </c>
    </row>
    <row r="56" spans="2:6" ht="30" customHeight="1">
      <c r="B56" s="157"/>
      <c r="C56" s="10" t="s">
        <v>123</v>
      </c>
      <c r="D56" s="13">
        <v>5</v>
      </c>
      <c r="E56" s="14">
        <v>1212.3585413527246</v>
      </c>
      <c r="F56" s="17" t="s">
        <v>117</v>
      </c>
    </row>
    <row r="57" spans="2:6" ht="30" customHeight="1">
      <c r="B57" s="158"/>
      <c r="C57" s="10" t="s">
        <v>124</v>
      </c>
      <c r="D57" s="13">
        <v>5</v>
      </c>
      <c r="E57" s="14">
        <v>1298.1221759243035</v>
      </c>
      <c r="F57" s="17" t="s">
        <v>117</v>
      </c>
    </row>
    <row r="58" spans="2:6" ht="30" customHeight="1">
      <c r="B58" s="10" t="str">
        <f>'Tietokanta (piilotetaan käytön '!B35</f>
        <v xml:space="preserve">Reititin </v>
      </c>
      <c r="C58" s="10" t="s">
        <v>125</v>
      </c>
      <c r="D58" s="13">
        <v>3</v>
      </c>
      <c r="E58" s="14">
        <v>76</v>
      </c>
      <c r="F58" s="20">
        <v>1000</v>
      </c>
    </row>
    <row r="59" spans="2:6" ht="30" customHeight="1">
      <c r="B59" s="10" t="str">
        <f>'Tietokanta (piilotetaan käytön '!B36</f>
        <v xml:space="preserve">Tulostin </v>
      </c>
      <c r="C59" s="10" t="s">
        <v>125</v>
      </c>
      <c r="D59" s="13">
        <v>6</v>
      </c>
      <c r="E59" s="14">
        <v>1163</v>
      </c>
      <c r="F59" s="20">
        <v>1000</v>
      </c>
    </row>
    <row r="70" s="5" customFormat="1"/>
    <row r="71" s="5" customFormat="1"/>
    <row r="72" s="5" customFormat="1"/>
    <row r="73" s="5" customFormat="1"/>
    <row r="74" s="5" customFormat="1" ht="14.25" customHeigh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 ht="26.25" customHeigh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</sheetData>
  <sheetProtection algorithmName="SHA-512" hashValue="mItw2vp3YPgwLv3hqvrwVO/No20mvhbqKgA74tcbBra8q7bvIzO1VvVNGVSMyOqGo0MMHS90JW/rlbgPRTKpdg==" saltValue="lgiaFHQ1TtEy98tGjZEMtA==" spinCount="100000" sheet="1" objects="1" scenarios="1"/>
  <mergeCells count="7">
    <mergeCell ref="B46:B49"/>
    <mergeCell ref="B50:B57"/>
    <mergeCell ref="M22:P22"/>
    <mergeCell ref="B32:B37"/>
    <mergeCell ref="B38:B40"/>
    <mergeCell ref="B25:B31"/>
    <mergeCell ref="B41:B45"/>
  </mergeCells>
  <hyperlinks>
    <hyperlink ref="A1" location="Johdanto!A1" display="Johdanto!A1" xr:uid="{00000000-0004-0000-0400-00000000000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8385-6F5D-4AE8-A04A-6355B3E171FE}">
  <dimension ref="A1:M55"/>
  <sheetViews>
    <sheetView zoomScaleNormal="100" workbookViewId="0">
      <selection activeCell="H22" sqref="H22"/>
    </sheetView>
  </sheetViews>
  <sheetFormatPr defaultColWidth="11" defaultRowHeight="14.45"/>
  <cols>
    <col min="1" max="1" width="27.42578125" bestFit="1" customWidth="1"/>
    <col min="2" max="2" width="23.7109375" bestFit="1" customWidth="1"/>
    <col min="3" max="3" width="19.7109375" bestFit="1" customWidth="1"/>
    <col min="4" max="4" width="28.140625" customWidth="1"/>
    <col min="5" max="5" width="11.7109375" customWidth="1"/>
    <col min="6" max="6" width="16.140625" customWidth="1"/>
    <col min="7" max="7" width="11.140625" customWidth="1"/>
    <col min="8" max="8" width="18.140625" customWidth="1"/>
    <col min="9" max="9" width="19" customWidth="1"/>
    <col min="10" max="10" width="17.140625" customWidth="1"/>
    <col min="11" max="11" width="26.140625" customWidth="1"/>
  </cols>
  <sheetData>
    <row r="1" spans="1:13">
      <c r="A1" s="106" t="s">
        <v>126</v>
      </c>
      <c r="B1" s="106" t="s">
        <v>127</v>
      </c>
      <c r="C1" s="106" t="s">
        <v>128</v>
      </c>
      <c r="D1" s="106" t="s">
        <v>129</v>
      </c>
      <c r="E1" s="106" t="s">
        <v>130</v>
      </c>
      <c r="F1" s="106" t="s">
        <v>131</v>
      </c>
      <c r="I1" s="106" t="s">
        <v>132</v>
      </c>
      <c r="J1" s="106" t="s">
        <v>133</v>
      </c>
      <c r="K1" s="106" t="s">
        <v>134</v>
      </c>
      <c r="L1" s="106" t="s">
        <v>135</v>
      </c>
      <c r="M1" s="106" t="s">
        <v>136</v>
      </c>
    </row>
    <row r="2" spans="1:13">
      <c r="A2" s="107" t="str">
        <f t="shared" ref="A2:A36" si="0">B2&amp;C2</f>
        <v>Tietokoneen_näyttö Keskiarvo</v>
      </c>
      <c r="B2" s="113" t="s">
        <v>26</v>
      </c>
      <c r="C2" s="107" t="s">
        <v>137</v>
      </c>
      <c r="D2" s="111">
        <v>372</v>
      </c>
      <c r="E2" s="107">
        <v>5</v>
      </c>
      <c r="F2" s="107">
        <v>2900</v>
      </c>
      <c r="G2" s="107"/>
      <c r="I2" t="s">
        <v>138</v>
      </c>
      <c r="J2" s="112">
        <v>3.2723354540196636</v>
      </c>
      <c r="K2" s="112">
        <v>264.72357374204745</v>
      </c>
      <c r="L2" s="112">
        <v>22</v>
      </c>
      <c r="M2" s="112">
        <v>34</v>
      </c>
    </row>
    <row r="3" spans="1:13">
      <c r="A3" s="107" t="str">
        <f t="shared" si="0"/>
        <v>Tietokoneen_näyttö 22"</v>
      </c>
      <c r="B3" s="113" t="s">
        <v>26</v>
      </c>
      <c r="C3" s="107" t="s">
        <v>139</v>
      </c>
      <c r="D3" s="111">
        <f t="shared" ref="D3:D8" si="1">VALUE(LEFT(C3,2))*$J$2+$K$2</f>
        <v>336.71495373048003</v>
      </c>
      <c r="E3" s="108">
        <f t="shared" ref="E3:E8" si="2">VLOOKUP(B3,$B$1:$E$36,4,FALSE)</f>
        <v>5</v>
      </c>
      <c r="F3" s="108">
        <f t="shared" ref="F3:F8" si="3">VLOOKUP(B3,$B$1:$F$36,5,FALSE)</f>
        <v>2900</v>
      </c>
      <c r="I3" t="s">
        <v>140</v>
      </c>
      <c r="J3" s="112">
        <v>31.441335997442447</v>
      </c>
      <c r="K3" s="112">
        <v>-235.29480362851655</v>
      </c>
      <c r="L3" s="112">
        <v>11.6</v>
      </c>
      <c r="M3" s="112">
        <v>17.3</v>
      </c>
    </row>
    <row r="4" spans="1:13">
      <c r="A4" s="107" t="str">
        <f t="shared" si="0"/>
        <v>Tietokoneen_näyttö 24"</v>
      </c>
      <c r="B4" s="113" t="s">
        <v>26</v>
      </c>
      <c r="C4" s="107" t="s">
        <v>141</v>
      </c>
      <c r="D4" s="111">
        <f t="shared" si="1"/>
        <v>343.25962463851937</v>
      </c>
      <c r="E4" s="108">
        <f t="shared" si="2"/>
        <v>5</v>
      </c>
      <c r="F4" s="108">
        <f t="shared" si="3"/>
        <v>2900</v>
      </c>
      <c r="I4" t="s">
        <v>142</v>
      </c>
      <c r="J4" s="112">
        <v>7.1274421973962827</v>
      </c>
      <c r="K4" s="112">
        <v>4.4627034265520678</v>
      </c>
      <c r="L4" s="112">
        <v>4</v>
      </c>
      <c r="M4" s="112">
        <v>6.9</v>
      </c>
    </row>
    <row r="5" spans="1:13">
      <c r="A5" s="107" t="str">
        <f t="shared" si="0"/>
        <v>Tietokoneen_näyttö 27"</v>
      </c>
      <c r="B5" s="113" t="s">
        <v>26</v>
      </c>
      <c r="C5" s="107" t="s">
        <v>143</v>
      </c>
      <c r="D5" s="111">
        <f t="shared" si="1"/>
        <v>353.07663100057835</v>
      </c>
      <c r="E5" s="108">
        <f t="shared" si="2"/>
        <v>5</v>
      </c>
      <c r="F5" s="108">
        <f t="shared" si="3"/>
        <v>2900</v>
      </c>
      <c r="I5" t="s">
        <v>144</v>
      </c>
      <c r="J5" s="112">
        <v>6.0917004409778022</v>
      </c>
      <c r="K5" s="112">
        <v>0.3239493002981817</v>
      </c>
      <c r="L5" s="112">
        <v>8</v>
      </c>
      <c r="M5" s="112">
        <v>13</v>
      </c>
    </row>
    <row r="6" spans="1:13">
      <c r="A6" s="107" t="str">
        <f t="shared" si="0"/>
        <v>Tietokoneen_näyttö 30"</v>
      </c>
      <c r="B6" s="113" t="s">
        <v>26</v>
      </c>
      <c r="C6" s="107" t="s">
        <v>145</v>
      </c>
      <c r="D6" s="111">
        <f t="shared" si="1"/>
        <v>362.89363736263738</v>
      </c>
      <c r="E6" s="108">
        <f t="shared" si="2"/>
        <v>5</v>
      </c>
      <c r="F6" s="108">
        <f t="shared" si="3"/>
        <v>2900</v>
      </c>
      <c r="I6" t="s">
        <v>146</v>
      </c>
      <c r="J6" s="112">
        <v>17.152726914315753</v>
      </c>
      <c r="K6" s="112">
        <v>-159.85961179253559</v>
      </c>
      <c r="L6" s="112">
        <v>55</v>
      </c>
      <c r="M6" s="112">
        <v>86</v>
      </c>
    </row>
    <row r="7" spans="1:13">
      <c r="A7" s="107" t="str">
        <f t="shared" si="0"/>
        <v>Tietokoneen_näyttö 32"</v>
      </c>
      <c r="B7" s="113" t="s">
        <v>26</v>
      </c>
      <c r="C7" s="107" t="s">
        <v>147</v>
      </c>
      <c r="D7" s="111">
        <f t="shared" si="1"/>
        <v>369.43830827067666</v>
      </c>
      <c r="E7" s="108">
        <f t="shared" si="2"/>
        <v>5</v>
      </c>
      <c r="F7" s="108">
        <f t="shared" si="3"/>
        <v>2900</v>
      </c>
    </row>
    <row r="8" spans="1:13">
      <c r="A8" s="107" t="str">
        <f t="shared" si="0"/>
        <v>Tietokoneen_näyttö 34"</v>
      </c>
      <c r="B8" s="113" t="s">
        <v>26</v>
      </c>
      <c r="C8" s="107" t="s">
        <v>148</v>
      </c>
      <c r="D8" s="111">
        <f t="shared" si="1"/>
        <v>375.98297917871599</v>
      </c>
      <c r="E8" s="108">
        <f t="shared" si="2"/>
        <v>5</v>
      </c>
      <c r="F8" s="108">
        <f t="shared" si="3"/>
        <v>2900</v>
      </c>
    </row>
    <row r="9" spans="1:13">
      <c r="A9" s="107" t="str">
        <f t="shared" si="0"/>
        <v>Kannettava_tietokone Keskiarvo</v>
      </c>
      <c r="B9" s="113" t="s">
        <v>149</v>
      </c>
      <c r="C9" s="107" t="s">
        <v>137</v>
      </c>
      <c r="D9" s="111">
        <v>233.70512500000007</v>
      </c>
      <c r="E9" s="107">
        <v>3</v>
      </c>
      <c r="F9" s="107">
        <v>10150</v>
      </c>
      <c r="G9" s="107"/>
    </row>
    <row r="10" spans="1:13">
      <c r="A10" s="107" t="str">
        <f t="shared" si="0"/>
        <v>Kannettava_tietokone 12"</v>
      </c>
      <c r="B10" s="113" t="s">
        <v>149</v>
      </c>
      <c r="C10" s="107" t="s">
        <v>150</v>
      </c>
      <c r="D10" s="111">
        <f>VALUE(LEFT(C10,2))*$J$3+$K$3</f>
        <v>142.00122834079281</v>
      </c>
      <c r="E10" s="108">
        <f>VLOOKUP(B10,$B$1:$E$36,4,FALSE)</f>
        <v>3</v>
      </c>
      <c r="F10" s="108">
        <f>VLOOKUP(B10,$B$1:$F$36,5,FALSE)</f>
        <v>10150</v>
      </c>
    </row>
    <row r="11" spans="1:13">
      <c r="A11" s="107" t="str">
        <f t="shared" si="0"/>
        <v>Kannettava_tietokone 13''</v>
      </c>
      <c r="B11" s="113" t="s">
        <v>149</v>
      </c>
      <c r="C11" s="113" t="s">
        <v>151</v>
      </c>
      <c r="D11" s="111">
        <f>VALUE(LEFT(C11,2))*$J$3+$K$3</f>
        <v>173.44256433823529</v>
      </c>
      <c r="E11" s="108">
        <f>VLOOKUP(B11,$B$1:$E$36,4,FALSE)</f>
        <v>3</v>
      </c>
      <c r="F11" s="108">
        <f>VLOOKUP(B11,$B$1:$F$36,5,FALSE)</f>
        <v>10150</v>
      </c>
    </row>
    <row r="12" spans="1:13">
      <c r="A12" s="107" t="str">
        <f t="shared" si="0"/>
        <v>Kannettava_tietokone 14"</v>
      </c>
      <c r="B12" s="113" t="s">
        <v>149</v>
      </c>
      <c r="C12" s="107" t="s">
        <v>152</v>
      </c>
      <c r="D12" s="111">
        <f>VALUE(LEFT(C12,2))*$J$3+$K$3</f>
        <v>204.88390033567771</v>
      </c>
      <c r="E12" s="108">
        <f>VLOOKUP(B12,$B$1:$E$36,4,FALSE)</f>
        <v>3</v>
      </c>
      <c r="F12" s="108">
        <f>VLOOKUP(B12,$B$1:$F$36,5,FALSE)</f>
        <v>10150</v>
      </c>
    </row>
    <row r="13" spans="1:13">
      <c r="A13" s="107" t="str">
        <f t="shared" si="0"/>
        <v>Kannettava_tietokone 15"</v>
      </c>
      <c r="B13" s="113" t="s">
        <v>149</v>
      </c>
      <c r="C13" s="107" t="s">
        <v>153</v>
      </c>
      <c r="D13" s="111">
        <f>VALUE(LEFT(C13,2))*$J$3+$K$3</f>
        <v>236.32523633312019</v>
      </c>
      <c r="E13" s="108">
        <f>VLOOKUP(B13,$B$1:$E$36,4,FALSE)</f>
        <v>3</v>
      </c>
      <c r="F13" s="108">
        <f>VLOOKUP(B13,$B$1:$F$36,5,FALSE)</f>
        <v>10150</v>
      </c>
    </row>
    <row r="14" spans="1:13">
      <c r="A14" s="107" t="str">
        <f t="shared" si="0"/>
        <v>Kannettava_tietokone 16"</v>
      </c>
      <c r="B14" s="113" t="s">
        <v>149</v>
      </c>
      <c r="C14" s="107" t="s">
        <v>154</v>
      </c>
      <c r="D14" s="111">
        <f>VALUE(LEFT(C14,2))*$J$3+$K$3</f>
        <v>267.76657233056261</v>
      </c>
      <c r="E14" s="108">
        <f>VLOOKUP(B14,$B$1:$E$36,4,FALSE)</f>
        <v>3</v>
      </c>
      <c r="F14" s="108">
        <f>VLOOKUP(B14,$B$1:$F$36,5,FALSE)</f>
        <v>10150</v>
      </c>
    </row>
    <row r="15" spans="1:13">
      <c r="A15" s="107" t="str">
        <f t="shared" si="0"/>
        <v>Pöytätietokone Keskiarvo</v>
      </c>
      <c r="B15" s="107" t="s">
        <v>155</v>
      </c>
      <c r="C15" s="107" t="s">
        <v>137</v>
      </c>
      <c r="D15" s="111">
        <v>367</v>
      </c>
      <c r="E15" s="107">
        <v>4</v>
      </c>
      <c r="F15" s="107">
        <v>10800</v>
      </c>
      <c r="G15" s="107"/>
    </row>
    <row r="16" spans="1:13">
      <c r="A16" s="107" t="str">
        <f t="shared" si="0"/>
        <v>Pöytätietokone Tehokas</v>
      </c>
      <c r="B16" s="107" t="s">
        <v>155</v>
      </c>
      <c r="C16" s="107" t="s">
        <v>156</v>
      </c>
      <c r="D16" s="111">
        <f>D15+50</f>
        <v>417</v>
      </c>
      <c r="E16" s="108">
        <f>VLOOKUP(B16,$B$1:$E$36,4,FALSE)</f>
        <v>4</v>
      </c>
      <c r="F16" s="108">
        <f>VLOOKUP(B16,$B$1:$F$36,5,FALSE)</f>
        <v>10800</v>
      </c>
    </row>
    <row r="17" spans="1:7">
      <c r="A17" s="107" t="str">
        <f t="shared" si="0"/>
        <v>Pöytätietokone Yleinen</v>
      </c>
      <c r="B17" s="107" t="s">
        <v>155</v>
      </c>
      <c r="C17" s="107" t="s">
        <v>157</v>
      </c>
      <c r="D17" s="111">
        <f>D15-50</f>
        <v>317</v>
      </c>
      <c r="E17" s="108">
        <f>VLOOKUP(B17,$B$1:$E$36,4,FALSE)</f>
        <v>4</v>
      </c>
      <c r="F17" s="108">
        <f>VLOOKUP(B17,$B$1:$F$36,5,FALSE)</f>
        <v>10800</v>
      </c>
    </row>
    <row r="18" spans="1:7">
      <c r="A18" s="107" t="str">
        <f t="shared" si="0"/>
        <v>Matkapuhelin Keskiarvo</v>
      </c>
      <c r="B18" s="107" t="s">
        <v>158</v>
      </c>
      <c r="C18" s="107" t="s">
        <v>137</v>
      </c>
      <c r="D18" s="111">
        <v>50</v>
      </c>
      <c r="E18" s="107">
        <v>2.5</v>
      </c>
      <c r="F18" s="107">
        <v>6100</v>
      </c>
      <c r="G18" s="107"/>
    </row>
    <row r="19" spans="1:7">
      <c r="A19" s="107" t="str">
        <f t="shared" si="0"/>
        <v>Matkapuhelin 4"</v>
      </c>
      <c r="B19" s="107" t="s">
        <v>158</v>
      </c>
      <c r="C19" s="107" t="s">
        <v>159</v>
      </c>
      <c r="D19" s="111">
        <f>VALUE(LEFT(C19,1))*$J$4+$K$4</f>
        <v>32.972472216137199</v>
      </c>
      <c r="E19" s="108">
        <f>VLOOKUP(B19,$B$1:$E$36,4,FALSE)</f>
        <v>2.5</v>
      </c>
      <c r="F19" s="108">
        <f>VLOOKUP(B19,$B$1:$F$36,5,FALSE)</f>
        <v>6100</v>
      </c>
    </row>
    <row r="20" spans="1:7">
      <c r="A20" s="107" t="str">
        <f t="shared" si="0"/>
        <v>Matkapuhelin 5"</v>
      </c>
      <c r="B20" s="107" t="s">
        <v>158</v>
      </c>
      <c r="C20" s="107" t="s">
        <v>160</v>
      </c>
      <c r="D20" s="111">
        <f>VALUE(LEFT(C20,1))*$J$4+$K$4</f>
        <v>40.099914413533483</v>
      </c>
      <c r="E20" s="108">
        <f>VLOOKUP(B20,$B$1:$E$36,4,FALSE)</f>
        <v>2.5</v>
      </c>
      <c r="F20" s="108">
        <f>VLOOKUP(B20,$B$1:$F$36,5,FALSE)</f>
        <v>6100</v>
      </c>
    </row>
    <row r="21" spans="1:7">
      <c r="A21" s="107" t="str">
        <f t="shared" si="0"/>
        <v>Matkapuhelin 6"</v>
      </c>
      <c r="B21" s="107" t="s">
        <v>158</v>
      </c>
      <c r="C21" s="107" t="s">
        <v>161</v>
      </c>
      <c r="D21" s="111">
        <f>VALUE(LEFT(C21,1))*$J$4+$K$4</f>
        <v>47.22735661092976</v>
      </c>
      <c r="E21" s="108">
        <f>VLOOKUP(B21,$B$1:$E$36,4,FALSE)</f>
        <v>2.5</v>
      </c>
      <c r="F21" s="108">
        <f>VLOOKUP(B21,$B$1:$F$36,5,FALSE)</f>
        <v>6100</v>
      </c>
    </row>
    <row r="22" spans="1:7">
      <c r="A22" s="107" t="str">
        <f t="shared" si="0"/>
        <v>Matkapuhelin 7"</v>
      </c>
      <c r="B22" s="107" t="s">
        <v>158</v>
      </c>
      <c r="C22" s="107" t="s">
        <v>162</v>
      </c>
      <c r="D22" s="111">
        <f>VALUE(LEFT(C22,1))*$J$4+$K$4</f>
        <v>54.354798808326045</v>
      </c>
      <c r="E22" s="108">
        <f>VLOOKUP(B22,$B$1:$E$36,4,FALSE)</f>
        <v>2.5</v>
      </c>
      <c r="F22" s="108">
        <f>VLOOKUP(B22,$B$1:$F$36,5,FALSE)</f>
        <v>6100</v>
      </c>
    </row>
    <row r="23" spans="1:7">
      <c r="A23" s="107" t="str">
        <f t="shared" si="0"/>
        <v>Tabletti Keskiarvo</v>
      </c>
      <c r="B23" s="107" t="s">
        <v>163</v>
      </c>
      <c r="C23" s="107" t="s">
        <v>137</v>
      </c>
      <c r="D23" s="111">
        <v>68.433846153846147</v>
      </c>
      <c r="E23" s="107">
        <v>2</v>
      </c>
      <c r="F23" s="107">
        <v>3300</v>
      </c>
      <c r="G23" s="107"/>
    </row>
    <row r="24" spans="1:7">
      <c r="A24" s="107" t="str">
        <f t="shared" si="0"/>
        <v>Tabletti 8"</v>
      </c>
      <c r="B24" s="107" t="s">
        <v>163</v>
      </c>
      <c r="C24" s="107" t="s">
        <v>164</v>
      </c>
      <c r="D24" s="111">
        <f>VALUE(LEFT(C24,LEN(C24)-1))*$J$5+$K$5</f>
        <v>49.057552828120599</v>
      </c>
      <c r="E24" s="108">
        <f>VLOOKUP(B24,$B$1:$E$36,4,FALSE)</f>
        <v>2</v>
      </c>
      <c r="F24" s="108">
        <f>VLOOKUP(B24,$B$1:$F$36,5,FALSE)</f>
        <v>3300</v>
      </c>
    </row>
    <row r="25" spans="1:7">
      <c r="A25" s="107" t="str">
        <f t="shared" si="0"/>
        <v>Tabletti 10"</v>
      </c>
      <c r="B25" s="107" t="s">
        <v>163</v>
      </c>
      <c r="C25" s="107" t="s">
        <v>165</v>
      </c>
      <c r="D25" s="111">
        <f>VALUE(LEFT(C25,LEN(C25)-1))*$J$5+$K$5</f>
        <v>61.240953710076205</v>
      </c>
      <c r="E25" s="108">
        <f>VLOOKUP(B25,$B$1:$E$36,4,FALSE)</f>
        <v>2</v>
      </c>
      <c r="F25" s="108">
        <f>VLOOKUP(B25,$B$1:$F$36,5,FALSE)</f>
        <v>3300</v>
      </c>
    </row>
    <row r="26" spans="1:7">
      <c r="A26" s="107" t="str">
        <f t="shared" si="0"/>
        <v>Tabletti 12"</v>
      </c>
      <c r="B26" s="107" t="s">
        <v>163</v>
      </c>
      <c r="C26" s="107" t="s">
        <v>150</v>
      </c>
      <c r="D26" s="111">
        <f>VALUE(LEFT(C26,LEN(C26)-1))*$J$5+$K$5</f>
        <v>73.424354592031804</v>
      </c>
      <c r="E26" s="108">
        <f>VLOOKUP(B26,$B$1:$E$36,4,FALSE)</f>
        <v>2</v>
      </c>
      <c r="F26" s="108">
        <f>VLOOKUP(B26,$B$1:$F$36,5,FALSE)</f>
        <v>3300</v>
      </c>
    </row>
    <row r="27" spans="1:7">
      <c r="A27" s="107" t="str">
        <f t="shared" si="0"/>
        <v>Kokoushuoneen_näyttö Keskiarvo</v>
      </c>
      <c r="B27" s="113" t="s">
        <v>166</v>
      </c>
      <c r="C27" s="107" t="s">
        <v>137</v>
      </c>
      <c r="D27" s="111">
        <v>1016</v>
      </c>
      <c r="E27" s="107">
        <v>5</v>
      </c>
      <c r="F27" s="109">
        <v>37500</v>
      </c>
    </row>
    <row r="28" spans="1:7">
      <c r="A28" s="107" t="str">
        <f t="shared" si="0"/>
        <v>Kokoushuoneen_näyttö 55"</v>
      </c>
      <c r="B28" s="113" t="s">
        <v>166</v>
      </c>
      <c r="C28" s="107" t="s">
        <v>167</v>
      </c>
      <c r="D28" s="111">
        <f>VALUE(LEFT(C28,LEN(C28)-1))*$J$6+$K$6</f>
        <v>783.54036849483089</v>
      </c>
      <c r="E28" s="108">
        <f t="shared" ref="E28:E34" si="4">VLOOKUP(B28,$B$1:$E$36,4,FALSE)</f>
        <v>5</v>
      </c>
      <c r="F28" s="108">
        <f t="shared" ref="F28:F34" si="5">VLOOKUP(B28,$B$1:$F$36,5,FALSE)</f>
        <v>37500</v>
      </c>
    </row>
    <row r="29" spans="1:7">
      <c r="A29" s="107" t="str">
        <f t="shared" si="0"/>
        <v>Kokoushuoneen_näyttö 60"</v>
      </c>
      <c r="B29" s="113" t="s">
        <v>166</v>
      </c>
      <c r="C29" s="107" t="s">
        <v>168</v>
      </c>
      <c r="D29" s="111">
        <f t="shared" ref="D29:D34" si="6">VALUE(LEFT(C29,LEN(C29)-1))*$J$6+$K$6</f>
        <v>869.30400306640968</v>
      </c>
      <c r="E29" s="108">
        <f t="shared" si="4"/>
        <v>5</v>
      </c>
      <c r="F29" s="108">
        <f t="shared" si="5"/>
        <v>37500</v>
      </c>
    </row>
    <row r="30" spans="1:7">
      <c r="A30" s="107" t="str">
        <f t="shared" si="0"/>
        <v>Kokoushuoneen_näyttö 65"</v>
      </c>
      <c r="B30" s="113" t="s">
        <v>166</v>
      </c>
      <c r="C30" s="107" t="s">
        <v>169</v>
      </c>
      <c r="D30" s="111">
        <f t="shared" si="6"/>
        <v>955.06763763798835</v>
      </c>
      <c r="E30" s="108">
        <f t="shared" si="4"/>
        <v>5</v>
      </c>
      <c r="F30" s="108">
        <f t="shared" si="5"/>
        <v>37500</v>
      </c>
    </row>
    <row r="31" spans="1:7">
      <c r="A31" s="107" t="str">
        <f t="shared" si="0"/>
        <v>Kokoushuoneen_näyttö 70"</v>
      </c>
      <c r="B31" s="113" t="s">
        <v>166</v>
      </c>
      <c r="C31" s="107" t="s">
        <v>170</v>
      </c>
      <c r="D31" s="111">
        <f t="shared" si="6"/>
        <v>1040.831272209567</v>
      </c>
      <c r="E31" s="108">
        <f t="shared" si="4"/>
        <v>5</v>
      </c>
      <c r="F31" s="108">
        <f t="shared" si="5"/>
        <v>37500</v>
      </c>
    </row>
    <row r="32" spans="1:7">
      <c r="A32" s="107" t="str">
        <f t="shared" si="0"/>
        <v>Kokoushuoneen_näyttö 75"</v>
      </c>
      <c r="B32" s="113" t="s">
        <v>166</v>
      </c>
      <c r="C32" s="107" t="s">
        <v>171</v>
      </c>
      <c r="D32" s="111">
        <f t="shared" si="6"/>
        <v>1126.5949067811459</v>
      </c>
      <c r="E32" s="108">
        <f t="shared" si="4"/>
        <v>5</v>
      </c>
      <c r="F32" s="108">
        <f t="shared" si="5"/>
        <v>37500</v>
      </c>
    </row>
    <row r="33" spans="1:6">
      <c r="A33" s="107" t="str">
        <f t="shared" si="0"/>
        <v>Kokoushuoneen_näyttö 80"</v>
      </c>
      <c r="B33" s="113" t="s">
        <v>166</v>
      </c>
      <c r="C33" s="107" t="s">
        <v>172</v>
      </c>
      <c r="D33" s="111">
        <f t="shared" si="6"/>
        <v>1212.3585413527246</v>
      </c>
      <c r="E33" s="108">
        <f t="shared" si="4"/>
        <v>5</v>
      </c>
      <c r="F33" s="108">
        <f t="shared" si="5"/>
        <v>37500</v>
      </c>
    </row>
    <row r="34" spans="1:6">
      <c r="A34" s="107" t="str">
        <f t="shared" si="0"/>
        <v>Kokoushuoneen_näyttö 85"</v>
      </c>
      <c r="B34" s="113" t="s">
        <v>166</v>
      </c>
      <c r="C34" s="107" t="s">
        <v>173</v>
      </c>
      <c r="D34" s="111">
        <f t="shared" si="6"/>
        <v>1298.1221759243035</v>
      </c>
      <c r="E34" s="108">
        <f t="shared" si="4"/>
        <v>5</v>
      </c>
      <c r="F34" s="108">
        <f t="shared" si="5"/>
        <v>37500</v>
      </c>
    </row>
    <row r="35" spans="1:6">
      <c r="A35" s="107" t="str">
        <f t="shared" si="0"/>
        <v>Reititin Keskiarvo</v>
      </c>
      <c r="B35" s="107" t="s">
        <v>174</v>
      </c>
      <c r="C35" s="107" t="s">
        <v>137</v>
      </c>
      <c r="D35" s="111">
        <v>76</v>
      </c>
      <c r="E35" s="107">
        <v>3</v>
      </c>
      <c r="F35" s="110">
        <v>1000</v>
      </c>
    </row>
    <row r="36" spans="1:6">
      <c r="A36" s="107" t="str">
        <f t="shared" si="0"/>
        <v>Tulostin Keskiarvo</v>
      </c>
      <c r="B36" s="107" t="s">
        <v>175</v>
      </c>
      <c r="C36" s="107" t="s">
        <v>137</v>
      </c>
      <c r="D36" s="111">
        <v>1163</v>
      </c>
      <c r="E36" s="107">
        <v>6</v>
      </c>
      <c r="F36" s="110">
        <v>1000</v>
      </c>
    </row>
    <row r="40" spans="1:6">
      <c r="A40" s="106" t="s">
        <v>176</v>
      </c>
      <c r="B40" s="106" t="s">
        <v>177</v>
      </c>
      <c r="C40" s="106" t="s">
        <v>178</v>
      </c>
      <c r="D40" s="106" t="s">
        <v>179</v>
      </c>
    </row>
    <row r="41" spans="1:6">
      <c r="A41" t="s">
        <v>180</v>
      </c>
      <c r="B41">
        <v>1</v>
      </c>
      <c r="C41">
        <v>0</v>
      </c>
      <c r="D41">
        <v>1</v>
      </c>
    </row>
    <row r="42" spans="1:6">
      <c r="A42" t="s">
        <v>181</v>
      </c>
      <c r="B42">
        <v>1</v>
      </c>
      <c r="C42">
        <v>1</v>
      </c>
      <c r="D42">
        <v>1.1000000000000001</v>
      </c>
    </row>
    <row r="43" spans="1:6">
      <c r="A43" t="s">
        <v>182</v>
      </c>
      <c r="B43">
        <v>0.15</v>
      </c>
      <c r="C43">
        <v>-1</v>
      </c>
      <c r="D43">
        <v>0.7</v>
      </c>
    </row>
    <row r="44" spans="1:6">
      <c r="A44" t="s">
        <v>183</v>
      </c>
      <c r="B44">
        <v>0.15</v>
      </c>
      <c r="C44">
        <v>-1.5</v>
      </c>
      <c r="D44">
        <v>0.4</v>
      </c>
    </row>
    <row r="45" spans="1:6">
      <c r="A45" t="s">
        <v>184</v>
      </c>
      <c r="B45">
        <v>0</v>
      </c>
      <c r="C45">
        <v>-1.5</v>
      </c>
      <c r="D45">
        <v>0</v>
      </c>
    </row>
    <row r="48" spans="1:6">
      <c r="A48" s="106" t="s">
        <v>185</v>
      </c>
    </row>
    <row r="49" spans="1:3">
      <c r="A49" s="106" t="s">
        <v>186</v>
      </c>
      <c r="B49" s="106" t="s">
        <v>187</v>
      </c>
      <c r="C49" s="106" t="s">
        <v>188</v>
      </c>
    </row>
    <row r="50" spans="1:3">
      <c r="A50" t="s">
        <v>189</v>
      </c>
      <c r="B50" t="s">
        <v>190</v>
      </c>
      <c r="C50" t="s">
        <v>191</v>
      </c>
    </row>
    <row r="51" spans="1:3">
      <c r="A51" t="s">
        <v>189</v>
      </c>
      <c r="B51" t="s">
        <v>192</v>
      </c>
      <c r="C51" t="s">
        <v>193</v>
      </c>
    </row>
    <row r="52" spans="1:3">
      <c r="A52" t="s">
        <v>194</v>
      </c>
      <c r="B52" t="s">
        <v>195</v>
      </c>
      <c r="C52" t="s">
        <v>196</v>
      </c>
    </row>
    <row r="53" spans="1:3">
      <c r="A53" t="s">
        <v>197</v>
      </c>
      <c r="B53" t="s">
        <v>198</v>
      </c>
      <c r="C53" t="s">
        <v>199</v>
      </c>
    </row>
    <row r="54" spans="1:3">
      <c r="A54" t="s">
        <v>197</v>
      </c>
      <c r="B54" t="s">
        <v>200</v>
      </c>
      <c r="C54" t="s">
        <v>201</v>
      </c>
    </row>
    <row r="55" spans="1:3">
      <c r="A55" t="s">
        <v>197</v>
      </c>
      <c r="B55" t="s">
        <v>202</v>
      </c>
      <c r="C55" t="s">
        <v>203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bb2028-43e6-4cc2-a67b-7a6125cf5ee2">
      <Terms xmlns="http://schemas.microsoft.com/office/infopath/2007/PartnerControls"/>
    </lcf76f155ced4ddcb4097134ff3c332f>
    <TaxCatchAll xmlns="82b74a00-43a6-4076-ac55-a30bded8718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39FE704F80C14DA225DF2A1DC23842" ma:contentTypeVersion="14" ma:contentTypeDescription="Opprett et nytt dokument." ma:contentTypeScope="" ma:versionID="71e056568bc1609470267e91476174da">
  <xsd:schema xmlns:xsd="http://www.w3.org/2001/XMLSchema" xmlns:xs="http://www.w3.org/2001/XMLSchema" xmlns:p="http://schemas.microsoft.com/office/2006/metadata/properties" xmlns:ns2="467848e3-5c03-4c04-af4f-ba95e20870c9" xmlns:ns3="82b74a00-43a6-4076-ac55-a30bded87187" xmlns:ns4="adbb2028-43e6-4cc2-a67b-7a6125cf5ee2" targetNamespace="http://schemas.microsoft.com/office/2006/metadata/properties" ma:root="true" ma:fieldsID="be6ac60fa7d585778b109da01dacafdd" ns2:_="" ns3:_="" ns4:_="">
    <xsd:import namespace="467848e3-5c03-4c04-af4f-ba95e20870c9"/>
    <xsd:import namespace="82b74a00-43a6-4076-ac55-a30bded87187"/>
    <xsd:import namespace="adbb2028-43e6-4cc2-a67b-7a6125cf5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3:TaxCatchAll" minOccurs="0"/>
                <xsd:element ref="ns4:MediaServiceObjectDetectorVersions" minOccurs="0"/>
                <xsd:element ref="ns4:MediaServiceSearchProperties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7848e3-5c03-4c04-af4f-ba95e2087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74a00-43a6-4076-ac55-a30bded871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84b6b28-8cca-4140-a6fc-dede0408c747}" ma:internalName="TaxCatchAll" ma:showField="CatchAllData" ma:web="82b74a00-43a6-4076-ac55-a30bded871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bb2028-43e6-4cc2-a67b-7a6125cf5ee2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eb0be57b-a27d-473a-a780-396a801308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74F6EB-D688-4653-AEB7-F63EE95B4B81}"/>
</file>

<file path=customXml/itemProps2.xml><?xml version="1.0" encoding="utf-8"?>
<ds:datastoreItem xmlns:ds="http://schemas.openxmlformats.org/officeDocument/2006/customXml" ds:itemID="{C6C29D96-A894-4C87-8D45-A7D776352E65}"/>
</file>

<file path=customXml/itemProps3.xml><?xml version="1.0" encoding="utf-8"?>
<ds:datastoreItem xmlns:ds="http://schemas.openxmlformats.org/officeDocument/2006/customXml" ds:itemID="{1CE889CB-EC68-4BB4-BD42-D24DAA0A37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Asplan Viak AS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Molly Bazilchuk</dc:creator>
  <cp:keywords/>
  <dc:description/>
  <cp:lastModifiedBy>Daniel Andreas Monsen Gløsen</cp:lastModifiedBy>
  <cp:revision/>
  <dcterms:created xsi:type="dcterms:W3CDTF">2024-12-09T12:13:23Z</dcterms:created>
  <dcterms:modified xsi:type="dcterms:W3CDTF">2025-06-12T06:45:53Z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0x010100A739FE704F80C14DA225DF2A1DC23842</vt:lpwstr>
  </property>
  <property fmtid="{D5CDD505-2E9C-101B-9397-08002B2CF9AE}" pid="3" name="_dlc_DocIdItemGuid">
    <vt:lpwstr>64153175-aaf2-4251-aee4-128ddc472a01</vt:lpwstr>
  </property>
  <property fmtid="{D5CDD505-2E9C-101B-9397-08002B2CF9AE}" pid="4" name="MediaServiceImageTags">
    <vt:lpwstr/>
  </property>
</Properties>
</file>