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ttps://dirfo-my.sharepoint.com/personal/ellen_ramsnes_dfo_no/Documents/Desktop/"/>
    </mc:Choice>
  </mc:AlternateContent>
  <xr:revisionPtr revIDLastSave="4" documentId="8_{229FCEF5-6D59-4068-9DBB-3148E32B5516}" xr6:coauthVersionLast="46" xr6:coauthVersionMax="46" xr10:uidLastSave="{2650BB42-7644-410B-917C-FFEB1DA649EF}"/>
  <workbookProtection workbookAlgorithmName="SHA-512" workbookHashValue="Js4TsvSF/O9K0oRnKnkJkRuNl8pgEaA3qkxELhvDe3L9qBQHLxtF+Ju7z5qH5La5l4Sq8dZ6fNsfFYgLG7MZ+A==" workbookSaltValue="nkFn8A7Hx+5qfwZ+RHa2Ug==" workbookSpinCount="100000" lockStructure="1"/>
  <bookViews>
    <workbookView xWindow="-120" yWindow="-120" windowWidth="29040" windowHeight="15840" xr2:uid="{00000000-000D-0000-FFFF-FFFF00000000}"/>
  </bookViews>
  <sheets>
    <sheet name="Guide" sheetId="6" r:id="rId1"/>
    <sheet name="Verktøy" sheetId="2" r:id="rId2"/>
    <sheet name="Utslippstall modellbygg" sheetId="1" r:id="rId3"/>
    <sheet name="Nedtrekksmenyer" sheetId="3" state="hidden" r:id="rId4"/>
    <sheet name="Modellbygg og utslippsfaktorer" sheetId="5" r:id="rId5"/>
    <sheet name="Løsningsvalg modellbygg" sheetId="4" r:id="rId6"/>
    <sheet name="Definisjon av BTA, BRA og BYA" sheetId="7" r:id="rId7"/>
  </sheets>
  <definedNames>
    <definedName name="_ftn1" localSheetId="4">'Modellbygg og utslippsfaktorer'!$J$7</definedName>
    <definedName name="_ftnref1" localSheetId="4">'Modellbygg og utslippsfaktorer'!$J$2</definedName>
    <definedName name="_Toc36478555" localSheetId="5">'Løsningsvalg modellbygg'!$S$11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P7" i="2" l="1"/>
  <c r="O7" i="2"/>
  <c r="B13" i="2"/>
  <c r="J7" i="2" l="1"/>
  <c r="Y34" i="1" l="1"/>
  <c r="U34" i="1"/>
  <c r="Q34" i="1"/>
  <c r="M34" i="1"/>
  <c r="I34" i="1"/>
  <c r="E34" i="1"/>
  <c r="D34" i="1"/>
  <c r="Y41" i="1"/>
  <c r="Y40" i="1"/>
  <c r="Y39" i="1"/>
  <c r="Y38" i="1"/>
  <c r="Y37" i="1"/>
  <c r="Y36" i="1"/>
  <c r="Y35" i="1"/>
  <c r="U41" i="1"/>
  <c r="U40" i="1"/>
  <c r="U39" i="1"/>
  <c r="U38" i="1"/>
  <c r="U37" i="1"/>
  <c r="U36" i="1"/>
  <c r="U35" i="1"/>
  <c r="Q41" i="1"/>
  <c r="Q40" i="1"/>
  <c r="Q39" i="1"/>
  <c r="Q38" i="1"/>
  <c r="Q37" i="1"/>
  <c r="Q36" i="1"/>
  <c r="Q35" i="1"/>
  <c r="M41" i="1"/>
  <c r="M40" i="1"/>
  <c r="M39" i="1"/>
  <c r="M38" i="1"/>
  <c r="M37" i="1"/>
  <c r="M36" i="1"/>
  <c r="M35" i="1"/>
  <c r="I41" i="1"/>
  <c r="I40" i="1"/>
  <c r="I39" i="1"/>
  <c r="I38" i="1"/>
  <c r="I37" i="1"/>
  <c r="I36" i="1"/>
  <c r="I35" i="1"/>
  <c r="H34" i="1"/>
  <c r="G34" i="1"/>
  <c r="F34" i="1"/>
  <c r="E36" i="1"/>
  <c r="E37" i="1"/>
  <c r="E38" i="1"/>
  <c r="E39" i="1"/>
  <c r="E40" i="1"/>
  <c r="E41" i="1"/>
  <c r="E35" i="1"/>
  <c r="X34" i="1"/>
  <c r="W34" i="1"/>
  <c r="V34" i="1"/>
  <c r="T34" i="1"/>
  <c r="S34" i="1"/>
  <c r="R34" i="1"/>
  <c r="P34" i="1"/>
  <c r="O34" i="1"/>
  <c r="N34" i="1"/>
  <c r="L34" i="1"/>
  <c r="K34" i="1"/>
  <c r="J34" i="1"/>
  <c r="C34" i="1"/>
  <c r="B34" i="1"/>
  <c r="B17" i="1"/>
  <c r="X20" i="1"/>
  <c r="X21" i="1"/>
  <c r="X22" i="1"/>
  <c r="X23" i="1"/>
  <c r="X19" i="1"/>
  <c r="X18" i="1"/>
  <c r="R20" i="1"/>
  <c r="R21" i="1"/>
  <c r="R22" i="1"/>
  <c r="R23" i="1"/>
  <c r="R19" i="1"/>
  <c r="R18" i="1" l="1"/>
  <c r="O20" i="1"/>
  <c r="O21" i="1"/>
  <c r="O22" i="1"/>
  <c r="O23" i="1"/>
  <c r="O19" i="1"/>
  <c r="O18" i="1"/>
  <c r="L18" i="1"/>
  <c r="L20" i="1"/>
  <c r="L21" i="1"/>
  <c r="L22" i="1"/>
  <c r="L23" i="1"/>
  <c r="L19" i="1"/>
  <c r="I20" i="1"/>
  <c r="I21" i="1"/>
  <c r="I22" i="1"/>
  <c r="I23" i="1"/>
  <c r="I19" i="1"/>
  <c r="I18" i="1"/>
  <c r="F19" i="1"/>
  <c r="F18" i="1"/>
  <c r="F20" i="1"/>
  <c r="F21" i="1"/>
  <c r="F22" i="1"/>
  <c r="F23" i="1"/>
  <c r="Y11" i="2" l="1"/>
  <c r="Y8" i="2"/>
  <c r="W13" i="2"/>
  <c r="X8" i="2"/>
  <c r="X9" i="2"/>
  <c r="Y9" i="2"/>
  <c r="X10" i="2"/>
  <c r="Y10" i="2"/>
  <c r="X11" i="2"/>
  <c r="X12" i="2"/>
  <c r="Y12" i="2"/>
  <c r="X13" i="2"/>
  <c r="Y13" i="2"/>
  <c r="W9" i="2"/>
  <c r="W10" i="2"/>
  <c r="W11" i="2"/>
  <c r="W12" i="2"/>
  <c r="W8" i="2"/>
  <c r="D142" i="1" l="1"/>
  <c r="D141" i="1"/>
  <c r="D140" i="1"/>
  <c r="D139" i="1"/>
  <c r="D135" i="1"/>
  <c r="D134" i="1"/>
  <c r="D133" i="1"/>
  <c r="D132" i="1"/>
  <c r="D128" i="1"/>
  <c r="D127" i="1"/>
  <c r="D126" i="1"/>
  <c r="D125" i="1"/>
  <c r="D121" i="1"/>
  <c r="D120" i="1"/>
  <c r="D119" i="1"/>
  <c r="D118" i="1"/>
  <c r="D114" i="1"/>
  <c r="D113" i="1"/>
  <c r="D112" i="1"/>
  <c r="D111" i="1"/>
  <c r="D107" i="1"/>
  <c r="D106" i="1"/>
  <c r="D105" i="1"/>
  <c r="D104" i="1"/>
  <c r="D100" i="1"/>
  <c r="D99" i="1"/>
  <c r="D98" i="1"/>
  <c r="D97" i="1"/>
  <c r="D91" i="1"/>
  <c r="D92" i="1"/>
  <c r="D93" i="1"/>
  <c r="D90" i="1"/>
  <c r="S5" i="2"/>
  <c r="E9" i="3" l="1"/>
  <c r="E8" i="3"/>
  <c r="E7" i="3"/>
  <c r="E6" i="3"/>
  <c r="E5" i="3"/>
  <c r="E4" i="3"/>
  <c r="E3" i="3"/>
  <c r="A5" i="2" l="1"/>
  <c r="D24" i="1"/>
  <c r="B24" i="1"/>
  <c r="I5" i="2"/>
  <c r="U7" i="2"/>
  <c r="Q7" i="2"/>
  <c r="U13" i="2"/>
  <c r="T13" i="2"/>
  <c r="S13" i="2"/>
  <c r="U12" i="2"/>
  <c r="T12" i="2"/>
  <c r="S12" i="2"/>
  <c r="U11" i="2"/>
  <c r="T11" i="2"/>
  <c r="S11" i="2"/>
  <c r="U10" i="2"/>
  <c r="T10" i="2"/>
  <c r="S10" i="2"/>
  <c r="U9" i="2"/>
  <c r="T9" i="2"/>
  <c r="S9" i="2"/>
  <c r="U8" i="2"/>
  <c r="T8" i="2"/>
  <c r="S8" i="2"/>
  <c r="O5" i="2"/>
  <c r="S17" i="1"/>
  <c r="R17" i="1"/>
  <c r="Q17" i="1"/>
  <c r="P17" i="1"/>
  <c r="O17" i="1"/>
  <c r="N17" i="1"/>
  <c r="M17" i="1"/>
  <c r="L17" i="1"/>
  <c r="K17" i="1"/>
  <c r="J17" i="1"/>
  <c r="I17" i="1"/>
  <c r="G17" i="1"/>
  <c r="F17" i="1"/>
  <c r="E17" i="1"/>
  <c r="D17" i="1"/>
  <c r="C17" i="1"/>
  <c r="H17" i="1"/>
  <c r="C24" i="1"/>
  <c r="V24" i="1"/>
  <c r="U24" i="1"/>
  <c r="T24" i="1"/>
  <c r="C39" i="2" l="1"/>
  <c r="Q9" i="2"/>
  <c r="L9" i="2" s="1"/>
  <c r="O8" i="2"/>
  <c r="J8" i="2" s="1"/>
  <c r="Q10" i="2"/>
  <c r="L10" i="2" s="1"/>
  <c r="U14" i="2"/>
  <c r="Q12" i="2"/>
  <c r="L12" i="2" s="1"/>
  <c r="Q13" i="2"/>
  <c r="L13" i="2" s="1"/>
  <c r="Q11" i="2"/>
  <c r="L11" i="2" s="1"/>
  <c r="O9" i="2"/>
  <c r="J9" i="2" s="1"/>
  <c r="O11" i="2"/>
  <c r="O13" i="2"/>
  <c r="P13" i="2"/>
  <c r="K13" i="2" s="1"/>
  <c r="P10" i="2"/>
  <c r="K10" i="2" s="1"/>
  <c r="P11" i="2"/>
  <c r="K11" i="2" s="1"/>
  <c r="O10" i="2"/>
  <c r="P12" i="2"/>
  <c r="K12" i="2" s="1"/>
  <c r="O12" i="2"/>
  <c r="Q8" i="2"/>
  <c r="P8" i="2"/>
  <c r="K8" i="2" s="1"/>
  <c r="P9" i="2"/>
  <c r="K9" i="2" s="1"/>
  <c r="T14" i="2"/>
  <c r="K7" i="2"/>
  <c r="S14" i="2"/>
  <c r="C30" i="2" l="1"/>
  <c r="D30" i="2"/>
  <c r="O14" i="2"/>
  <c r="Q14" i="2"/>
  <c r="K14" i="2"/>
  <c r="K15" i="2" s="1"/>
  <c r="L8" i="2"/>
  <c r="M8" i="2" s="1"/>
  <c r="P14" i="2"/>
  <c r="B53" i="2" l="1"/>
  <c r="D33" i="2"/>
  <c r="D32" i="2"/>
  <c r="D34" i="2"/>
  <c r="G4" i="3"/>
  <c r="K17" i="2"/>
  <c r="K16" i="2"/>
  <c r="L14" i="2"/>
  <c r="L15" i="2" s="1"/>
  <c r="L17" i="2" l="1"/>
  <c r="L16" i="2"/>
  <c r="J12" i="2"/>
  <c r="J10" i="2"/>
  <c r="M7" i="2"/>
  <c r="G3" i="3" l="1"/>
  <c r="W14" i="2"/>
  <c r="M10" i="2"/>
  <c r="M12" i="2"/>
  <c r="Y7" i="2"/>
  <c r="Y14" i="2" s="1"/>
  <c r="W5" i="2"/>
  <c r="J11" i="2"/>
  <c r="J13" i="2"/>
  <c r="G6" i="3" l="1"/>
  <c r="B55" i="2"/>
  <c r="G8" i="3"/>
  <c r="B57" i="2"/>
  <c r="M13" i="2"/>
  <c r="M11" i="2"/>
  <c r="J14" i="2" l="1"/>
  <c r="J15" i="2" s="1"/>
  <c r="M15" i="2" s="1"/>
  <c r="G7" i="3"/>
  <c r="B56" i="2"/>
  <c r="G9" i="3"/>
  <c r="B58" i="2"/>
  <c r="X14" i="2"/>
  <c r="M9" i="2"/>
  <c r="E30" i="2" s="1"/>
  <c r="E34" i="2" l="1"/>
  <c r="E33" i="2"/>
  <c r="E32" i="2"/>
  <c r="B54" i="2"/>
  <c r="B59" i="2" s="1"/>
  <c r="C40" i="2"/>
  <c r="J16" i="2"/>
  <c r="J17" i="2"/>
  <c r="G5" i="3"/>
  <c r="D23" i="2"/>
  <c r="C41" i="2"/>
  <c r="C53" i="2" s="1"/>
  <c r="M14" i="2"/>
  <c r="B30" i="2" l="1"/>
  <c r="B32" i="2" s="1"/>
  <c r="D21" i="2"/>
  <c r="C55" i="2"/>
  <c r="C58" i="2"/>
  <c r="C57" i="2"/>
  <c r="C56" i="2"/>
  <c r="C54" i="2"/>
  <c r="M17" i="2"/>
  <c r="M16" i="2"/>
  <c r="C59" i="2" l="1"/>
  <c r="C34" i="2"/>
  <c r="C33" i="2"/>
  <c r="B34" i="2"/>
  <c r="B33" i="2"/>
  <c r="C32" i="2"/>
  <c r="G10" i="3"/>
  <c r="H10" i="3"/>
  <c r="F10" i="3"/>
  <c r="F11" i="3"/>
  <c r="H11" i="3"/>
  <c r="G11" i="3"/>
  <c r="F12" i="3"/>
  <c r="G12" i="3"/>
  <c r="H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Lyslo Skullestad</author>
  </authors>
  <commentList>
    <comment ref="G4" authorId="0" shapeId="0" xr:uid="{00000000-0006-0000-0100-000001000000}">
      <text>
        <r>
          <rPr>
            <sz val="9"/>
            <color indexed="81"/>
            <rFont val="Tahoma"/>
            <family val="2"/>
          </rPr>
          <t>Kommenter forutsetninger ved behov</t>
        </r>
      </text>
    </comment>
    <comment ref="D11" authorId="0" shapeId="0" xr:uid="{00000000-0006-0000-0100-000002000000}">
      <text>
        <r>
          <rPr>
            <sz val="9"/>
            <color indexed="81"/>
            <rFont val="Tahoma"/>
            <family val="2"/>
          </rPr>
          <t>Fyll inn forventet antall timer bygget vil være i bruk i løpet av et år. Hvis du er usikker, se for eksempel retningslinjer for antall åpningsdager for ulike bygningskategorier i Futurebuilts regneregler for klimagassberegninger (finnes åpent tilgjengelig på internett). Det kan også medregnes utvidet brukstid utover normal åpningstid, for eksempel for bruk av skolebygg på kveldstid. Ved å inkludere utvidet åpningstid får man med effekten av merbruk/sambruk.</t>
        </r>
      </text>
    </comment>
    <comment ref="E29" authorId="0" shapeId="0" xr:uid="{00000000-0006-0000-0100-000003000000}">
      <text>
        <r>
          <rPr>
            <sz val="9"/>
            <color indexed="81"/>
            <rFont val="Tahoma"/>
            <family val="2"/>
          </rPr>
          <t>Dersom det fylles inn egendefinert ambisjonsnivå for prosentvis reduksjon i tabellen under, dukker det opp en egendefinert utslippsramme her</t>
        </r>
      </text>
    </comment>
    <comment ref="C43" authorId="0" shapeId="0" xr:uid="{00000000-0006-0000-0100-000004000000}">
      <text>
        <r>
          <rPr>
            <sz val="9"/>
            <color indexed="81"/>
            <rFont val="Tahoma"/>
            <family val="2"/>
          </rPr>
          <t>Fyll inn prosentvis reduksjon
For eksempel 30 % hvis prosjektet skal ha 30 % lavere utslipp enn referansenivået</t>
        </r>
      </text>
    </comment>
  </commentList>
</comments>
</file>

<file path=xl/sharedStrings.xml><?xml version="1.0" encoding="utf-8"?>
<sst xmlns="http://schemas.openxmlformats.org/spreadsheetml/2006/main" count="1219" uniqueCount="450">
  <si>
    <t>Verktøy for beregning av utslippsramme for klimagassutslipp fra bygg</t>
  </si>
  <si>
    <t>INNDATA</t>
  </si>
  <si>
    <t>Velg bygningskategori ----&gt;</t>
  </si>
  <si>
    <t>Kontorbygg</t>
  </si>
  <si>
    <t>Forklaring</t>
  </si>
  <si>
    <t>Kommentar til innfylt parameter</t>
  </si>
  <si>
    <r>
      <t>m</t>
    </r>
    <r>
      <rPr>
        <b/>
        <vertAlign val="superscript"/>
        <sz val="11"/>
        <color rgb="FF000000"/>
        <rFont val="Calibri"/>
        <family val="2"/>
      </rPr>
      <t>2</t>
    </r>
    <r>
      <rPr>
        <b/>
        <sz val="11"/>
        <color rgb="FF000000"/>
        <rFont val="Calibri"/>
        <family val="2"/>
      </rPr>
      <t xml:space="preserve"> BTA</t>
    </r>
  </si>
  <si>
    <t>BTA for bygg over bakken</t>
  </si>
  <si>
    <t>Kjeller, oppvarmet</t>
  </si>
  <si>
    <t>Totalt dekkeareal for oppvarmet kjeller</t>
  </si>
  <si>
    <r>
      <t>Tonn CO</t>
    </r>
    <r>
      <rPr>
        <b/>
        <vertAlign val="subscript"/>
        <sz val="11"/>
        <color theme="1"/>
        <rFont val="Calibri"/>
        <family val="2"/>
        <scheme val="minor"/>
      </rPr>
      <t>2</t>
    </r>
    <r>
      <rPr>
        <b/>
        <sz val="11"/>
        <color theme="1"/>
        <rFont val="Calibri"/>
        <family val="2"/>
        <scheme val="minor"/>
      </rPr>
      <t xml:space="preserve"> ekv over 60 år</t>
    </r>
  </si>
  <si>
    <t>A1-A3</t>
  </si>
  <si>
    <t>A4</t>
  </si>
  <si>
    <t>B4-B5</t>
  </si>
  <si>
    <t>SUM</t>
  </si>
  <si>
    <t>Kjeller, uoppvarmet</t>
  </si>
  <si>
    <t>Totalt dekkeareal for uoppvarmet kjeller</t>
  </si>
  <si>
    <t>21 Grunn og fundamenter</t>
  </si>
  <si>
    <t>Bebygd areal</t>
  </si>
  <si>
    <r>
      <t>m</t>
    </r>
    <r>
      <rPr>
        <b/>
        <vertAlign val="superscript"/>
        <sz val="11"/>
        <color rgb="FF000000"/>
        <rFont val="Calibri"/>
        <family val="2"/>
      </rPr>
      <t>2</t>
    </r>
    <r>
      <rPr>
        <b/>
        <sz val="11"/>
        <color rgb="FF000000"/>
        <rFont val="Calibri"/>
        <family val="2"/>
      </rPr>
      <t xml:space="preserve"> BYA</t>
    </r>
  </si>
  <si>
    <t>Se egen fane for forklaring</t>
  </si>
  <si>
    <t>22 Bæresystemer</t>
  </si>
  <si>
    <t xml:space="preserve">Dybde til fjell </t>
  </si>
  <si>
    <t>m</t>
  </si>
  <si>
    <t>Beregner evt. nødvendig pelefundamentering</t>
  </si>
  <si>
    <t>23 Yttervegger</t>
  </si>
  <si>
    <t>Bruksareal</t>
  </si>
  <si>
    <r>
      <t>m</t>
    </r>
    <r>
      <rPr>
        <b/>
        <vertAlign val="superscript"/>
        <sz val="11"/>
        <color rgb="FF000000"/>
        <rFont val="Calibri"/>
        <family val="2"/>
      </rPr>
      <t>2</t>
    </r>
    <r>
      <rPr>
        <b/>
        <sz val="11"/>
        <color rgb="FF000000"/>
        <rFont val="Calibri"/>
        <family val="2"/>
      </rPr>
      <t xml:space="preserve"> BRA</t>
    </r>
  </si>
  <si>
    <t>24 Innervegger</t>
  </si>
  <si>
    <t xml:space="preserve">Antall driftstimer per år </t>
  </si>
  <si>
    <t>timer</t>
  </si>
  <si>
    <t xml:space="preserve">Forventet brukstid per år </t>
  </si>
  <si>
    <t>25 Dekker</t>
  </si>
  <si>
    <t>Antall faste brukere</t>
  </si>
  <si>
    <t>personer</t>
  </si>
  <si>
    <t>Antall faste brukere daglig (på åpningsdager)</t>
  </si>
  <si>
    <t>26 Yttertak</t>
  </si>
  <si>
    <t>Antall personbrukstimer</t>
  </si>
  <si>
    <t>pbt/år</t>
  </si>
  <si>
    <t>28 Trapper og balkonger</t>
  </si>
  <si>
    <t>Sum</t>
  </si>
  <si>
    <t>kg CO2 e/m2 BTA/år</t>
  </si>
  <si>
    <t>kg CO2 e/m2 BRA/år</t>
  </si>
  <si>
    <t>kg CO2 e/pbt/år</t>
  </si>
  <si>
    <t>REFERANSEUTSLIPPET FOR DETTE BYGGET ER:</t>
  </si>
  <si>
    <r>
      <t xml:space="preserve">tonn CO2 ekv. over 60 år </t>
    </r>
    <r>
      <rPr>
        <b/>
        <i/>
        <sz val="11"/>
        <color theme="1"/>
        <rFont val="Calibri"/>
        <family val="2"/>
        <scheme val="minor"/>
      </rPr>
      <t>inkl.</t>
    </r>
    <r>
      <rPr>
        <b/>
        <sz val="11"/>
        <color theme="1"/>
        <rFont val="Calibri"/>
        <family val="2"/>
        <scheme val="minor"/>
      </rPr>
      <t xml:space="preserve"> grunn og fundamenter</t>
    </r>
  </si>
  <si>
    <r>
      <t xml:space="preserve">tonn CO2 ekv. over 60 år </t>
    </r>
    <r>
      <rPr>
        <b/>
        <i/>
        <sz val="11"/>
        <color theme="1"/>
        <rFont val="Calibri"/>
        <family val="2"/>
        <scheme val="minor"/>
      </rPr>
      <t>ekskl.</t>
    </r>
    <r>
      <rPr>
        <b/>
        <sz val="11"/>
        <color theme="1"/>
        <rFont val="Calibri"/>
        <family val="2"/>
        <scheme val="minor"/>
      </rPr>
      <t xml:space="preserve"> grunn og fundamenter</t>
    </r>
  </si>
  <si>
    <t>ANBEFALT UTSLIPPSRAMME EKSKL. GRUNN OG FUNDAMENTER</t>
  </si>
  <si>
    <t>Basis</t>
  </si>
  <si>
    <t>Avansert</t>
  </si>
  <si>
    <t>Spydspiss</t>
  </si>
  <si>
    <t>Egendefinert</t>
  </si>
  <si>
    <t>Tonn CO2-ekv. over 60 år</t>
  </si>
  <si>
    <t>Tilleggsindikatorer</t>
  </si>
  <si>
    <t>kg CO2-ekv/m2 BTA/år</t>
  </si>
  <si>
    <t>kg CO2-ekv/m2 BRA/år</t>
  </si>
  <si>
    <t>kg CO2-ekv/pbt/år</t>
  </si>
  <si>
    <t>De ulike ambisjonsnivåene tilsvarer følgende reduksjon mot referansenivået:</t>
  </si>
  <si>
    <t>Tilsvarende reduksjon mot referansenivå</t>
  </si>
  <si>
    <t>Kommentar</t>
  </si>
  <si>
    <t>Utslippsrammen for basis er lik referansenivået. Dette er likevel ikke et "worstcase"-scenario</t>
  </si>
  <si>
    <t xml:space="preserve">Sammensatt av ambisjonsnivå spydspiss for aktuell bygningskategori og evt. kjeller </t>
  </si>
  <si>
    <t xml:space="preserve">Sammensatt av ambisjonsnivå avansert for aktuell bygningskategori og evt. kjeller </t>
  </si>
  <si>
    <t>Egendefinert ambisjonsnivå (fyll inn:)</t>
  </si>
  <si>
    <t>Fyll inn eget ambisjonsnivå dersom det ikke er ønskelig å bruke de forhåndsdefinerte nivåene</t>
  </si>
  <si>
    <t>Spydspissnivået representerer den potensielle utslippsreduksjonen ift. referansenivået:</t>
  </si>
  <si>
    <t>Potensiell reduksjon av klimagassutslipp, Spydspiss sammenliknet mot referansenivå:</t>
  </si>
  <si>
    <t>tonn CO2 ekv. over 60 år</t>
  </si>
  <si>
    <t>Referanse</t>
  </si>
  <si>
    <t>SUM, bygning</t>
  </si>
  <si>
    <t>Utslippstall modellbygg</t>
  </si>
  <si>
    <t>Referanseverdier</t>
  </si>
  <si>
    <t>Boligblokk</t>
  </si>
  <si>
    <t>Skolebygg</t>
  </si>
  <si>
    <t>Forretning/næringsbygg</t>
  </si>
  <si>
    <t>Sykehjem</t>
  </si>
  <si>
    <t>Småhus</t>
  </si>
  <si>
    <t>Oppvarmet kjeller</t>
  </si>
  <si>
    <t>Uoppvarmet kjeller</t>
  </si>
  <si>
    <t>Grunn og fundamenter</t>
  </si>
  <si>
    <t>kg CO2 ekv/m2 BTA</t>
  </si>
  <si>
    <t>Materiale</t>
  </si>
  <si>
    <t>Enhet</t>
  </si>
  <si>
    <t>Indeks</t>
  </si>
  <si>
    <t>Stålkernepel</t>
  </si>
  <si>
    <t>kg CO2 ekv/BTA/dybde til fjell</t>
  </si>
  <si>
    <t>Betong, gysemasse</t>
  </si>
  <si>
    <t>Betong, bunnplate</t>
  </si>
  <si>
    <t>kg CO2 ekv/BYA</t>
  </si>
  <si>
    <t xml:space="preserve">Potensiell reduksjon </t>
  </si>
  <si>
    <t>Spydspissnivå</t>
  </si>
  <si>
    <t>Klimagassutslipp per areal (kg CO2e/m² BTA)</t>
  </si>
  <si>
    <t>KONTOR</t>
  </si>
  <si>
    <t>Livsløpsfase</t>
  </si>
  <si>
    <t>Lavutslipp</t>
  </si>
  <si>
    <t>Materialproduksjon (A1-A3)</t>
  </si>
  <si>
    <t>Transport (A4)</t>
  </si>
  <si>
    <t>Utskifting (B4)</t>
  </si>
  <si>
    <t>BOLIGBLOKK</t>
  </si>
  <si>
    <t>SKOLE</t>
  </si>
  <si>
    <t>FORRETNING</t>
  </si>
  <si>
    <t>SMÅHUS</t>
  </si>
  <si>
    <t>SYKEHJEM</t>
  </si>
  <si>
    <t>KJELLER, oppvarmet</t>
  </si>
  <si>
    <t>KJELLER, uoppvarmet</t>
  </si>
  <si>
    <t>Velg bygningskategori</t>
  </si>
  <si>
    <t xml:space="preserve"> </t>
  </si>
  <si>
    <t>Lavutslipp (spydspiss)</t>
  </si>
  <si>
    <t>Bygnings­kategori</t>
  </si>
  <si>
    <t xml:space="preserve">Grunnflate </t>
  </si>
  <si>
    <t>Antall</t>
  </si>
  <si>
    <t xml:space="preserve">Oppvarmet areal </t>
  </si>
  <si>
    <t>Bruttoareal</t>
  </si>
  <si>
    <t>Areal­andel vinduer/‌dører av oppvarmet areal</t>
  </si>
  <si>
    <t>Armering, spenn</t>
  </si>
  <si>
    <t>kg CO2 ekv/kg</t>
  </si>
  <si>
    <t xml:space="preserve">m² </t>
  </si>
  <si>
    <t xml:space="preserve"> etasjer</t>
  </si>
  <si>
    <r>
      <t>m²</t>
    </r>
    <r>
      <rPr>
        <vertAlign val="superscript"/>
        <sz val="10"/>
        <color theme="1"/>
        <rFont val="Calibri"/>
        <family val="2"/>
        <scheme val="minor"/>
      </rPr>
      <t xml:space="preserve"> </t>
    </r>
  </si>
  <si>
    <t>m²</t>
  </si>
  <si>
    <t>Armeringsstål</t>
  </si>
  <si>
    <t>300 (10x30)</t>
  </si>
  <si>
    <t>Avrettingsmasse</t>
  </si>
  <si>
    <t>kg CO2 e/kg</t>
  </si>
  <si>
    <t>1200 (20 x 60)</t>
  </si>
  <si>
    <t>Betong, B35</t>
  </si>
  <si>
    <t>kg CO2 ekv/m3</t>
  </si>
  <si>
    <t>Bransjereferanse</t>
  </si>
  <si>
    <t>Skolebygning</t>
  </si>
  <si>
    <t>Betong, B45</t>
  </si>
  <si>
    <t>Forretningsbygning</t>
  </si>
  <si>
    <t>Betong, hulldekke, B35</t>
  </si>
  <si>
    <t>EPS, 80, 16 kg/m3</t>
  </si>
  <si>
    <t>kg CO2 e/m3</t>
  </si>
  <si>
    <t>EPS 80, 16 kg/m3</t>
  </si>
  <si>
    <t>Ingen endring fra referanse</t>
  </si>
  <si>
    <t>80 (10 x 8)</t>
  </si>
  <si>
    <t>Flislim</t>
  </si>
  <si>
    <t>Utgår ved overgang til vinyl</t>
  </si>
  <si>
    <t>Gipsplate, gulv, 13 mm</t>
  </si>
  <si>
    <t>kg CO2 ekv/m2</t>
  </si>
  <si>
    <t>Gipsplate, standard</t>
  </si>
  <si>
    <t>Hulldekke</t>
  </si>
  <si>
    <t>Bransjeref, standard spennarm</t>
  </si>
  <si>
    <t>Innerdør</t>
  </si>
  <si>
    <t>kg CO2 e/m2</t>
  </si>
  <si>
    <t>Kjeramisk flis</t>
  </si>
  <si>
    <t>Overgang til vinyl</t>
  </si>
  <si>
    <t>Konstruksjonsstål, hulprofil</t>
  </si>
  <si>
    <t>Konstruksjonsstål, valseprofil</t>
  </si>
  <si>
    <t>Limtre</t>
  </si>
  <si>
    <t>Linoleum</t>
  </si>
  <si>
    <t>Massivtre</t>
  </si>
  <si>
    <t>Mineralull, innervegg</t>
  </si>
  <si>
    <t>Snitt av Paroc og Rockwool</t>
  </si>
  <si>
    <t>Mineralull, trykkfast tak</t>
  </si>
  <si>
    <t>Steinull, 80 kg/m3</t>
  </si>
  <si>
    <t>Mineralull, yttervegg</t>
  </si>
  <si>
    <t>Stenull, 50 kg/m3</t>
  </si>
  <si>
    <t>Mørtel, tegl</t>
  </si>
  <si>
    <t>Overgang til trekledning</t>
  </si>
  <si>
    <t>OSB plate</t>
  </si>
  <si>
    <t>25mm massivtre</t>
  </si>
  <si>
    <t>Parkett</t>
  </si>
  <si>
    <t>Overgang til linoleum</t>
  </si>
  <si>
    <t>Pukk</t>
  </si>
  <si>
    <t>Sponplater, 667 kg/m3</t>
  </si>
  <si>
    <t>Antar 22 mm tykkelse</t>
  </si>
  <si>
    <t>Takstein</t>
  </si>
  <si>
    <t>Overgang til tretak</t>
  </si>
  <si>
    <t>Tegl</t>
  </si>
  <si>
    <t>Teppe</t>
  </si>
  <si>
    <t>Trinnlydsplate, glassull, 20 mm</t>
  </si>
  <si>
    <t>Utvendig GU-X</t>
  </si>
  <si>
    <t>Utvendig kledning, maling</t>
  </si>
  <si>
    <t>Utvendig maling utgår</t>
  </si>
  <si>
    <t>Utvendig kledning, tre</t>
  </si>
  <si>
    <t>Antar 21 mm tykkelse</t>
  </si>
  <si>
    <t>Vindu</t>
  </si>
  <si>
    <t>Vinyl</t>
  </si>
  <si>
    <t>Kontor</t>
  </si>
  <si>
    <t>Løsningsvalg modellbygg</t>
  </si>
  <si>
    <t>Kommentar til løsningsvalg</t>
  </si>
  <si>
    <t>Løsningsvalg, modellbygg</t>
  </si>
  <si>
    <t>Skole</t>
  </si>
  <si>
    <t>Forretning</t>
  </si>
  <si>
    <t>Kjeller</t>
  </si>
  <si>
    <t>Element</t>
  </si>
  <si>
    <t>Valgte løsninger</t>
  </si>
  <si>
    <t>Valgte løsninger oppvarmet</t>
  </si>
  <si>
    <t>Valgte løsninger ikke oppvarmet</t>
  </si>
  <si>
    <t>Bære-systemer</t>
  </si>
  <si>
    <t>Søyler</t>
  </si>
  <si>
    <t xml:space="preserve">Stålsøyler (hulprofil) </t>
  </si>
  <si>
    <t>3.3 kg/m² BTA</t>
  </si>
  <si>
    <t>Betongsøyler og -bjelker i 1 etg, resten stålsøyler og -bjelker. Betongbjelker i 1 etg pga. betongsøyler. Blir 33%/67% betong og stål, siden bygget har tre etasjer</t>
  </si>
  <si>
    <t>4.2 kg/m² BTA</t>
  </si>
  <si>
    <t>Stålsøyler og -bjelker i hele konstruksjonen, alle etasjer like</t>
  </si>
  <si>
    <t>4.1 kg/m² BTA</t>
  </si>
  <si>
    <t>Betongsøyler og -bjelker i 1 etg, resten stålsøyler og -bjelker. Betongbjelker i 1 etg pga. betongsøyler. Blir altså 50/50 betong og stål, siden bygget har to etasjer</t>
  </si>
  <si>
    <t>1 kg/m² BTA</t>
  </si>
  <si>
    <t>5.8 kg/m² BTA</t>
  </si>
  <si>
    <t>Stålsøyler i hele bygget, siden det antas at det ikke er så stor forskjell på de 2 etg.</t>
  </si>
  <si>
    <t>18.5 kg/m² BTA</t>
  </si>
  <si>
    <t>Betongsøyler og -bjelker i hele konstruksjonen, alle etasjer like</t>
  </si>
  <si>
    <t>Betongsøyler</t>
  </si>
  <si>
    <t>6.1 kg/m² BTA</t>
  </si>
  <si>
    <t>3.9 kg/m² BTA</t>
  </si>
  <si>
    <t>1.9 kg/m² BTA</t>
  </si>
  <si>
    <t>Bjelker</t>
  </si>
  <si>
    <t xml:space="preserve">Stålbjelker (valseprofil) </t>
  </si>
  <si>
    <t>12.9 kg/m² BTA</t>
  </si>
  <si>
    <t>21.1 kg/m² BTA</t>
  </si>
  <si>
    <t>19.2 kg/m² BTA</t>
  </si>
  <si>
    <t>7.1 kg/m² BTA</t>
  </si>
  <si>
    <t>6 kg/m² BTA</t>
  </si>
  <si>
    <t>17.7 kg/m² BTA</t>
  </si>
  <si>
    <t>116.8 kg/m² BTA</t>
  </si>
  <si>
    <t xml:space="preserve">Betongbjelker </t>
  </si>
  <si>
    <t>38.5 kg/m² BTA</t>
  </si>
  <si>
    <t>23.4 kg/m² BTA</t>
  </si>
  <si>
    <t>22.3 kg/m² BTA</t>
  </si>
  <si>
    <t>2.9 kg/m² BTA</t>
  </si>
  <si>
    <t>Ytter-vegger</t>
  </si>
  <si>
    <t>Bærende yttervegg</t>
  </si>
  <si>
    <t>Betongvegg 200mm, mineralull, utvendig vindsperre (GU-X), utlekting, maling på innside</t>
  </si>
  <si>
    <t>250 mm steinull
12% av YOM</t>
  </si>
  <si>
    <t>250 mm steinull
14% av YOM</t>
  </si>
  <si>
    <t>250 mm steinull
5,7 % av YOM</t>
  </si>
  <si>
    <t>250 mm steinull
11% av YOM</t>
  </si>
  <si>
    <t>250 mm steinull
6,7% av YOM</t>
  </si>
  <si>
    <t>Betongvegg, sandwich, 90mm+80mm, vanntett bitumenplate, 190 mm EPS</t>
  </si>
  <si>
    <t>100% av YUM</t>
  </si>
  <si>
    <t>Trebjelker</t>
  </si>
  <si>
    <t>8.4 kg/m² BTA</t>
  </si>
  <si>
    <t>Inner-vegger</t>
  </si>
  <si>
    <t>Innervegger</t>
  </si>
  <si>
    <t>Betongvegg 150mm</t>
  </si>
  <si>
    <t>1750 m2 INV</t>
  </si>
  <si>
    <t>175,0 m2 INV</t>
  </si>
  <si>
    <t>For oppvarmet bygg er det lagt til samme mengde innervegger som for kontorbygg over bakken. Alle innervegger er endret til 150 mm betongvegger. For ikke oppvarmet kjeller er det antatt 10% av innervegger for kontorbygg over bakken.</t>
  </si>
  <si>
    <t>Lettklinker 200 mm, mineralull, utvendig vindsperre (GU-X), utlekting, dampsperre, mørtel mellom lettklinker, mørtel og maling på innside</t>
  </si>
  <si>
    <t>250 mm steinull
6 % av YOM</t>
  </si>
  <si>
    <t>250 mm steinull
8 % av YOM</t>
  </si>
  <si>
    <t>250 mm steinull
10 % av YOM</t>
  </si>
  <si>
    <t>250 mm steinull
6,7 % av YOM</t>
  </si>
  <si>
    <t>Kledning og overflate</t>
  </si>
  <si>
    <t>Maling på gips</t>
  </si>
  <si>
    <t>100 % av gipsvegg</t>
  </si>
  <si>
    <t>Sparkel på gipsvegg er ikke inkludert</t>
  </si>
  <si>
    <t>250 mm steinull
4 % av YOM</t>
  </si>
  <si>
    <t>Murpuss + maling på betongvegg</t>
  </si>
  <si>
    <t>100% av betongvegg</t>
  </si>
  <si>
    <t>Ikke-bærende yttervegg</t>
  </si>
  <si>
    <t>Klimavegg m/utvendig vindsperre (GU-X), bindingsverk med trestender og mineralull, dampsperre, 1 lag innvendig gips</t>
  </si>
  <si>
    <t>250 mm steinull
33 % av YOM</t>
  </si>
  <si>
    <t>Steinull.</t>
  </si>
  <si>
    <t>250 mm steinull
47 % av YOM</t>
  </si>
  <si>
    <t>Steinull. Murplate på innsiden av tegl er nødvendig og inkludert i mineralull her</t>
  </si>
  <si>
    <t>Klimavegg m/utvendig GU, bindingsverk med trestender og glassull, 1 lag innvendig gips</t>
  </si>
  <si>
    <t>250 mm isolasjon
38,3 % av YOM</t>
  </si>
  <si>
    <t>Steinull</t>
  </si>
  <si>
    <t>250 mm steinull
27 % av YOM</t>
  </si>
  <si>
    <t>250 mm steinull
49 % av YOM (801 m2)</t>
  </si>
  <si>
    <t xml:space="preserve">Steinull. Murplate på innsiden av tegl er nødvendig og inkludert i mineralull her. </t>
  </si>
  <si>
    <t>Dekker</t>
  </si>
  <si>
    <t>Frittbærende dekker</t>
  </si>
  <si>
    <t xml:space="preserve">265mm betong hulldekke </t>
  </si>
  <si>
    <t>100% av (BTA-BYA)</t>
  </si>
  <si>
    <t>250 mm steinull
80 % av YOM</t>
  </si>
  <si>
    <t>Gulv på grunn</t>
  </si>
  <si>
    <t>Betong, dampsperre/radonsperre</t>
  </si>
  <si>
    <t>ikke inkludert</t>
  </si>
  <si>
    <t>Gulv på grunn er ikke inkludert for kjeller. Gulv på grunn er inkludert for kontor, boligblokk, skole og forretningsbygg.</t>
  </si>
  <si>
    <t>Glassfasader/</t>
  </si>
  <si>
    <t>Glassfasade</t>
  </si>
  <si>
    <t>6% av YOM</t>
  </si>
  <si>
    <t>Glassfasade benyttes ved inngangsparti/1. etg.</t>
  </si>
  <si>
    <t>7,1% av YOM</t>
  </si>
  <si>
    <t>Glassfasade benyttes ofte ved inngangsparti/1. etg, (andel kommer fra Isy Calcus, som hadde 5 % for barneskole og 14 % for ungdomsskole, valgte en middelverdi)</t>
  </si>
  <si>
    <t>9 % av YOM</t>
  </si>
  <si>
    <t>0 % av YOM</t>
  </si>
  <si>
    <t>Påstøp</t>
  </si>
  <si>
    <t>50 mm armert påstøp + 20 mm avrettingsmasse</t>
  </si>
  <si>
    <t>100% av dekker</t>
  </si>
  <si>
    <t>vinduer</t>
  </si>
  <si>
    <t>Trevinduer med alukledning, 3 lag</t>
  </si>
  <si>
    <t>42% av YOM</t>
  </si>
  <si>
    <t>25% av BRA = 42 % av YOM</t>
  </si>
  <si>
    <t>30% av YOM</t>
  </si>
  <si>
    <t>25% av BRA = 30 % av YOM</t>
  </si>
  <si>
    <t>41,4% av YOM</t>
  </si>
  <si>
    <t>25% av BRA = 41,38 % av YOM</t>
  </si>
  <si>
    <t>41% av YOM</t>
  </si>
  <si>
    <t>25% av BRA = 41 % av YOM</t>
  </si>
  <si>
    <t>36% av YOM</t>
  </si>
  <si>
    <t>25% av BRA = 36 % av YOM. 600 m2</t>
  </si>
  <si>
    <t>Gulv-overflate</t>
  </si>
  <si>
    <t>70 % av BRA</t>
  </si>
  <si>
    <t>7 % av BRA</t>
  </si>
  <si>
    <t>Utvendig kledning</t>
  </si>
  <si>
    <t>Tegl, inkl mørtel</t>
  </si>
  <si>
    <t>35 % av YOM (70% av tettfelt)</t>
  </si>
  <si>
    <t>Tegl, inkl. mørtel mellom murstein. 0,02 m3 tørr mørtel / m2 murvegg. Isolasjon er ikke med her, dette er med i klimavegg</t>
  </si>
  <si>
    <t>48 % av YOM (70% av tettfelt)</t>
  </si>
  <si>
    <t>Tegl,  inkl. mørtel mellom murstein. 0,02 m3 tørr mørtel / m2 murvegg. Isolasjon er ikke med her, dette er med i klimavegg</t>
  </si>
  <si>
    <t>30 % av YOM</t>
  </si>
  <si>
    <t>32 % av YOM (50% av tettfelt)</t>
  </si>
  <si>
    <t>15% av YOM</t>
  </si>
  <si>
    <t>25% av BRA = 15 % av YOM.</t>
  </si>
  <si>
    <t>47 % av YOM (70% av tettfelt)</t>
  </si>
  <si>
    <t>15 % av BRA</t>
  </si>
  <si>
    <t>1 % av BRA</t>
  </si>
  <si>
    <t>Fibersementplate</t>
  </si>
  <si>
    <t>15 % av YOM (30% av tettfelt)</t>
  </si>
  <si>
    <t>Malt trekledning</t>
  </si>
  <si>
    <t>21 % av YOM (30% av tettfelt)</t>
  </si>
  <si>
    <t>Trekledning</t>
  </si>
  <si>
    <t>20 % av YOM</t>
  </si>
  <si>
    <t>0% av tettfelt</t>
  </si>
  <si>
    <t>20 % av YOM (30% av tettfelt)</t>
  </si>
  <si>
    <t>10% av BRA</t>
  </si>
  <si>
    <t>1% av BRA</t>
  </si>
  <si>
    <t>Dører</t>
  </si>
  <si>
    <t>Ytterdører i stål</t>
  </si>
  <si>
    <t>1% av YOM</t>
  </si>
  <si>
    <t>1,72% av YOM</t>
  </si>
  <si>
    <t>Malet trekledning</t>
  </si>
  <si>
    <t>100% av tettfelt</t>
  </si>
  <si>
    <t>Endret til 100% trekledning</t>
  </si>
  <si>
    <t>1,6% av YOM</t>
  </si>
  <si>
    <t>Kermaisk flis, flislim og membran</t>
  </si>
  <si>
    <t>5 % av BRA</t>
  </si>
  <si>
    <t>Bærende innervegger</t>
  </si>
  <si>
    <t>13% av INV</t>
  </si>
  <si>
    <t>19% av INV</t>
  </si>
  <si>
    <t>12% av INV</t>
  </si>
  <si>
    <t>0% av INV</t>
  </si>
  <si>
    <t>2,2 % av YOM</t>
  </si>
  <si>
    <t>10% av INV</t>
  </si>
  <si>
    <t>Ubehandlet betong</t>
  </si>
  <si>
    <t>90 % av BRA</t>
  </si>
  <si>
    <t>Ikke oppvarmet kjeller har 90% ubehandlet betong</t>
  </si>
  <si>
    <t>Betongvegg 250mm</t>
  </si>
  <si>
    <t>2% av INV</t>
  </si>
  <si>
    <t>Betongvegg heissjakt</t>
  </si>
  <si>
    <t>3% av INV</t>
  </si>
  <si>
    <t>Lagt til betongvegg heissjakt. 84 m2</t>
  </si>
  <si>
    <t>Faste himlinger og overflate-behandling</t>
  </si>
  <si>
    <t>Fast gipshimling, malt</t>
  </si>
  <si>
    <t>50 % av BRA</t>
  </si>
  <si>
    <t>Lettklinker</t>
  </si>
  <si>
    <t>7% av INV</t>
  </si>
  <si>
    <t>10 % av INV</t>
  </si>
  <si>
    <t>30% av INV</t>
  </si>
  <si>
    <t>System-himlinger</t>
  </si>
  <si>
    <t>Systemhimling + stålprofiler</t>
  </si>
  <si>
    <t>20 mm mineralullplater
50% av BRA</t>
  </si>
  <si>
    <t>Ikke-bærende innervegger</t>
  </si>
  <si>
    <t>100mm bindingsverksvegg, mineralull, 1 lag gips hver side, stålstender</t>
  </si>
  <si>
    <t>100 mm steinull
60% av INV</t>
  </si>
  <si>
    <t>100 mm steinull
54% av INV</t>
  </si>
  <si>
    <t>Steinull mer vanlig enn glassull.</t>
  </si>
  <si>
    <t>100mm gipsplatevegg 1 lag gips hver side, stålstender</t>
  </si>
  <si>
    <t>100 mm steinull
63% av INV</t>
  </si>
  <si>
    <t xml:space="preserve">Steinull mer vanlig enn glassull. </t>
  </si>
  <si>
    <t>100 mm steinull
80% av INV</t>
  </si>
  <si>
    <t>Systemvegger, glassfelt</t>
  </si>
  <si>
    <t>Glass front systemvegg</t>
  </si>
  <si>
    <t>20% av INV</t>
  </si>
  <si>
    <t>4% av INV</t>
  </si>
  <si>
    <t>5% av INV</t>
  </si>
  <si>
    <t>Murpuss + maling på betong og lettklinker</t>
  </si>
  <si>
    <t>Murpuss + maling på betong</t>
  </si>
  <si>
    <t>Murpuss + maling på lettklinker</t>
  </si>
  <si>
    <t>100% av betong og lettklinkervegg</t>
  </si>
  <si>
    <t>8,5% av INV</t>
  </si>
  <si>
    <t>Keramisk flis på toaletter.</t>
  </si>
  <si>
    <t>15% av INV</t>
  </si>
  <si>
    <t>Våtromsvinyl</t>
  </si>
  <si>
    <t>Vinyl på toaletter.</t>
  </si>
  <si>
    <t>Tredører</t>
  </si>
  <si>
    <t>8% av INV</t>
  </si>
  <si>
    <t>26% av INV</t>
  </si>
  <si>
    <t>Keramisk flis på bad</t>
  </si>
  <si>
    <t>265mm betong hulldekke</t>
  </si>
  <si>
    <t>100mm betong + 200mm EPS
100% av BYA</t>
  </si>
  <si>
    <t>Benyttet 100 mm bunnplate og 200 mm EPS når det ikke er behov for ekstra fundamentering.</t>
  </si>
  <si>
    <t>9% av INV</t>
  </si>
  <si>
    <t>Ekstra lag 20 mm glassull lå inne i One Click, dette er fjernet</t>
  </si>
  <si>
    <t>Trebjelkelag, 225mm glassull</t>
  </si>
  <si>
    <t>0% av (BTA-BYA)</t>
  </si>
  <si>
    <t>Vanlig med 100 mm bunnplate når det ikke er behov for ekstra fundamentering.</t>
  </si>
  <si>
    <t>0% av BTA</t>
  </si>
  <si>
    <t>Endret til å ikke inkluderer avretting og påstøp på gulv på grunn.</t>
  </si>
  <si>
    <t>Trebjelkelag</t>
  </si>
  <si>
    <t>225 mm steinull
100% av BTA</t>
  </si>
  <si>
    <t>Benyttet 100 mm bunnplate og 200 mm EPS når det ikke er behov for fundamentering.</t>
  </si>
  <si>
    <t>Uendret</t>
  </si>
  <si>
    <t>0 % av BRA</t>
  </si>
  <si>
    <t>80 % av BRA</t>
  </si>
  <si>
    <t>30 % av BRA</t>
  </si>
  <si>
    <t>10 % av BRA</t>
  </si>
  <si>
    <t>60 % av BRA</t>
  </si>
  <si>
    <t>15% av BRA</t>
  </si>
  <si>
    <t>Vinyl på toaletter istedenfor keramisk flis, da det ikke er hensiktsmessig eller kostnadseffektivt med flis på skoler pga. vedlikehold, slitasje, osv.</t>
  </si>
  <si>
    <t>Keramisk fli, flislim og membran</t>
  </si>
  <si>
    <t>20% av BRA</t>
  </si>
  <si>
    <t>Keramisk flis</t>
  </si>
  <si>
    <t>95 % av BRA</t>
  </si>
  <si>
    <t>20 % av BRA</t>
  </si>
  <si>
    <t>20 mm mineralullplater
5% av BRA</t>
  </si>
  <si>
    <t>Kermamisk fli, flislim og membran</t>
  </si>
  <si>
    <t>100 % av BRA</t>
  </si>
  <si>
    <t>40 mm mineralullplater
70% av BRA</t>
  </si>
  <si>
    <t>20 mm byttet ut med 40 mm pga akustiske krav i skoler</t>
  </si>
  <si>
    <t>20 mm mineralullplater
0% av BRA</t>
  </si>
  <si>
    <t>Yttertak</t>
  </si>
  <si>
    <t>Primær-konstruksjon</t>
  </si>
  <si>
    <t>265 mm betong hulldekke, dampsperre</t>
  </si>
  <si>
    <t>250 mm EPS, 50 mm trykkfast steinull
100% av BYA</t>
  </si>
  <si>
    <t>Endret til 250 mm EPS, 50 mm trykkfast steinull</t>
  </si>
  <si>
    <t>Taktekking</t>
  </si>
  <si>
    <t xml:space="preserve">Asfalttekking, to lag </t>
  </si>
  <si>
    <t>100% av BYA</t>
  </si>
  <si>
    <t>Trapper og balkonger</t>
  </si>
  <si>
    <t>Trapper</t>
  </si>
  <si>
    <t>Betongtrapp</t>
  </si>
  <si>
    <t>Uendret mengde</t>
  </si>
  <si>
    <t>Heissjakt</t>
  </si>
  <si>
    <t>Betongsjakt</t>
  </si>
  <si>
    <t>Heissjakt er inkludert i innervegger.</t>
  </si>
  <si>
    <t>Trebjelkelag, sponplate, OSB plate, PVC undertak</t>
  </si>
  <si>
    <t>Isolasjon er i dekket</t>
  </si>
  <si>
    <t>0% limtre</t>
  </si>
  <si>
    <t>Trapp, limtre</t>
  </si>
  <si>
    <t>100% betong</t>
  </si>
  <si>
    <t>Endret til trapp av limtre</t>
  </si>
  <si>
    <t>Definisjon av BTA, BRA og BYA</t>
  </si>
  <si>
    <t xml:space="preserve">Denne fanen beskriver definisjoner av arealbegrepene BTA, BRA og BYA som brukes i verktøyet. Definisjonene er hentet fra NS 3940:2012 "Areal- og volumberegninger av bygninger". For illustrasjoner av hvordan arealbegrepene brukes i bygg henvises det til NS 3940:2012. </t>
  </si>
  <si>
    <t>Bruttoareal, BTA</t>
  </si>
  <si>
    <r>
      <t xml:space="preserve">Bruttoareal beregnes fra utside omsluttende vegger og inkluderer utvendig avsluttende overflate. 
Innhuk og framspring av konstruksjonsmessig eller estetisk art medregnes ikke. Bruttoarealet for en bygning er summen av bruttoarealene for alle plan eller etasjer. Planen kan være helt eller delvis under terreng. 
</t>
    </r>
    <r>
      <rPr>
        <b/>
        <sz val="11"/>
        <color theme="1"/>
        <rFont val="Calibri"/>
        <family val="2"/>
        <scheme val="minor"/>
      </rPr>
      <t xml:space="preserve">Hvordan brukes bruttoareal i verktøyet?
</t>
    </r>
    <r>
      <rPr>
        <sz val="11"/>
        <color theme="1"/>
        <rFont val="Calibri"/>
        <family val="2"/>
        <scheme val="minor"/>
      </rPr>
      <t xml:space="preserve">Referansenivåene for ulike bygningskategorier er beregnet per BTA. Dette er derfor den viktigste arealenheten som skalerer opp utslippsrammen til byggets størrelse. BTA er delt opp i BTA over bakken, og BTA for oppvarmet og uoppvarmet kjeller. Dette er fordi det er forskjellige referansenivåer over og under bakken. BTA brukes også til å beregne behov for pelefundamenter sammen med dybde til fjell. 
</t>
    </r>
  </si>
  <si>
    <t>Bruksareal, BRA</t>
  </si>
  <si>
    <r>
      <t xml:space="preserve">Bruksareal (BRA) er arealet innenfor omsluttende vegger.
Bruksareal omfatter nettoareal og areal av innvendige vegger og sjakter. 
Det skal måles langs gulvplanet uten hensyn til gulvlister, innredningsenheter, installasjoner og liknende.
Hvis ikke annet er bestemt, skal måleverdig areal helt eller delvis under terreng regnes med i bruksarealet.
</t>
    </r>
    <r>
      <rPr>
        <b/>
        <sz val="11"/>
        <color theme="1"/>
        <rFont val="Calibri"/>
        <family val="2"/>
        <scheme val="minor"/>
      </rPr>
      <t>Hvordan brukes bruksareal i verktøyet?</t>
    </r>
    <r>
      <rPr>
        <sz val="11"/>
        <color theme="1"/>
        <rFont val="Calibri"/>
        <family val="2"/>
        <scheme val="minor"/>
      </rPr>
      <t xml:space="preserve">
BTA brukes til å beregne indikator for klimagassutslipp per BRA. Bruksarealet må derfor kun fylles hvis man ønsker å vise denne indikatoren for sammenligning med andre bygg. </t>
    </r>
  </si>
  <si>
    <t>Bebygd areal, BYA</t>
  </si>
  <si>
    <r>
      <t xml:space="preserve">Bebygd areal er horisontalprojeksjonen av enten bygning(er), bygningsdeler og tilhørende konstruksjoner over bakken. 
I bebygd areal skal følgende medregnes: 
- det arealet som bygningen eller bygningene opptar av terrenget;
- åpent overbygd areal;
- utkragede bygningdeler med fri høyde over terreng mindre enn 5,00 m;
- konstruksjoner og bygningdeler med fri høyde over terreng mindre enn 0,5 m over gjennomsnittsnivået for planert terreng rundt konstruksjonen eller bygningsdelen.
</t>
    </r>
    <r>
      <rPr>
        <b/>
        <sz val="11"/>
        <color theme="1"/>
        <rFont val="Calibri"/>
        <family val="2"/>
        <scheme val="minor"/>
      </rPr>
      <t>Hvordan brukes bebygd areal i verktøyet?</t>
    </r>
    <r>
      <rPr>
        <sz val="11"/>
        <color theme="1"/>
        <rFont val="Calibri"/>
        <family val="2"/>
        <scheme val="minor"/>
      </rPr>
      <t xml:space="preserve"> 
BYA brukes kun til å estimere klimagassutslipp fra fundamentering. Ved bruk av pelefundamentering er det behov for ekstra bunnplate i fundamentering, og mengdene for denne beregnes per BYA. 
</t>
    </r>
  </si>
  <si>
    <t>Faste brukere * Driftstimer (beregnes automatisk)</t>
  </si>
  <si>
    <t xml:space="preserve">Verktøyet er utviklet for DFØ av Asplan Viak </t>
  </si>
  <si>
    <t>Versjon 1: desember 2020</t>
  </si>
  <si>
    <t>Husk å velg bygningskategori (klikk på felt 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</si>
</sst>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8"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scheme val="minor"/>
    </font>
    <font>
      <sz val="11"/>
      <color rgb="FFFF0000"/>
      <name val="Calibri"/>
      <family val="2"/>
      <scheme val="minor"/>
    </font>
    <font>
      <b/>
      <vertAlign val="superscript"/>
      <sz val="11"/>
      <color rgb="FF000000"/>
      <name val="Calibri"/>
      <family val="2"/>
    </font>
    <font>
      <b/>
      <sz val="14"/>
      <color theme="1"/>
      <name val="Calibri"/>
      <family val="2"/>
      <scheme val="minor"/>
    </font>
    <font>
      <b/>
      <sz val="12"/>
      <color theme="1"/>
      <name val="Calibri"/>
      <family val="2"/>
      <scheme val="minor"/>
    </font>
    <font>
      <b/>
      <sz val="16"/>
      <color theme="1"/>
      <name val="Calibri"/>
      <family val="2"/>
      <scheme val="minor"/>
    </font>
    <font>
      <b/>
      <sz val="9"/>
      <color theme="1"/>
      <name val="Calibri"/>
      <family val="2"/>
    </font>
    <font>
      <sz val="9"/>
      <color theme="1"/>
      <name val="Calibri"/>
      <family val="2"/>
    </font>
    <font>
      <sz val="9"/>
      <color rgb="FF000000"/>
      <name val="Calibri"/>
      <family val="2"/>
    </font>
    <font>
      <sz val="9"/>
      <color rgb="FFFF0000"/>
      <name val="Calibri"/>
      <family val="2"/>
    </font>
    <font>
      <sz val="10"/>
      <color theme="1"/>
      <name val="Times New Roman"/>
      <family val="1"/>
    </font>
    <font>
      <sz val="10"/>
      <color theme="1"/>
      <name val="Calibri"/>
      <family val="2"/>
      <scheme val="minor"/>
    </font>
    <font>
      <i/>
      <sz val="10"/>
      <color theme="1"/>
      <name val="Calibri"/>
      <family val="2"/>
      <scheme val="minor"/>
    </font>
    <font>
      <sz val="9"/>
      <color rgb="FF000000"/>
      <name val="Calibri"/>
      <family val="2"/>
    </font>
    <font>
      <sz val="9"/>
      <color indexed="81"/>
      <name val="Tahoma"/>
      <family val="2"/>
    </font>
    <font>
      <sz val="11"/>
      <name val="Calibri"/>
      <family val="2"/>
    </font>
    <font>
      <b/>
      <vertAlign val="subscript"/>
      <sz val="11"/>
      <color theme="1"/>
      <name val="Calibri"/>
      <family val="2"/>
      <scheme val="minor"/>
    </font>
    <font>
      <b/>
      <i/>
      <sz val="11"/>
      <color theme="1"/>
      <name val="Calibri"/>
      <family val="2"/>
      <scheme val="minor"/>
    </font>
    <font>
      <vertAlign val="superscript"/>
      <sz val="10"/>
      <color theme="1"/>
      <name val="Calibri"/>
      <family val="2"/>
      <scheme val="minor"/>
    </font>
    <font>
      <b/>
      <sz val="10"/>
      <name val="Calibri"/>
      <family val="2"/>
      <scheme val="minor"/>
    </font>
    <font>
      <sz val="10"/>
      <name val="Calibri"/>
      <family val="2"/>
      <scheme val="minor"/>
    </font>
    <font>
      <i/>
      <sz val="1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
      <patternFill patternType="solid">
        <fgColor rgb="FFE6EBF6"/>
        <bgColor indexed="64"/>
      </patternFill>
    </fill>
    <fill>
      <patternFill patternType="solid">
        <fgColor rgb="FFE0E0E0"/>
        <bgColor indexed="64"/>
      </patternFill>
    </fill>
    <fill>
      <patternFill patternType="solid">
        <fgColor rgb="FFA0CB83"/>
        <bgColor indexed="64"/>
      </patternFill>
    </fill>
    <fill>
      <patternFill patternType="solid">
        <fgColor rgb="FF7CB953"/>
        <bgColor indexed="64"/>
      </patternFill>
    </fill>
    <fill>
      <patternFill patternType="solid">
        <fgColor theme="2"/>
        <bgColor indexed="64"/>
      </patternFill>
    </fill>
  </fills>
  <borders count="7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thin">
        <color indexed="64"/>
      </top>
      <bottom style="thin">
        <color indexed="64"/>
      </bottom>
      <diagonal/>
    </border>
    <border>
      <left/>
      <right/>
      <top/>
      <bottom style="medium">
        <color rgb="FF008000"/>
      </bottom>
      <diagonal/>
    </border>
    <border>
      <left style="medium">
        <color indexed="64"/>
      </left>
      <right/>
      <top/>
      <bottom style="medium">
        <color rgb="FF008000"/>
      </bottom>
      <diagonal/>
    </border>
    <border>
      <left/>
      <right style="medium">
        <color indexed="64"/>
      </right>
      <top/>
      <bottom style="medium">
        <color rgb="FF008000"/>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393">
    <xf numFmtId="0" fontId="0" fillId="0" borderId="0" xfId="0"/>
    <xf numFmtId="0" fontId="0" fillId="0" borderId="0" xfId="0" applyAlignment="1"/>
    <xf numFmtId="0" fontId="0" fillId="0" borderId="34" xfId="0" applyBorder="1"/>
    <xf numFmtId="0" fontId="0" fillId="0" borderId="0" xfId="0" applyBorder="1"/>
    <xf numFmtId="0" fontId="0" fillId="0" borderId="35" xfId="0" applyBorder="1"/>
    <xf numFmtId="0" fontId="0" fillId="0" borderId="29" xfId="0" applyBorder="1"/>
    <xf numFmtId="0" fontId="0" fillId="0" borderId="30" xfId="0" applyBorder="1"/>
    <xf numFmtId="0" fontId="0" fillId="0" borderId="31" xfId="0" applyBorder="1"/>
    <xf numFmtId="1" fontId="0" fillId="0" borderId="0" xfId="0" applyNumberFormat="1"/>
    <xf numFmtId="3" fontId="0" fillId="0" borderId="0" xfId="0" applyNumberFormat="1"/>
    <xf numFmtId="0" fontId="0" fillId="0" borderId="0" xfId="0" applyFill="1" applyBorder="1"/>
    <xf numFmtId="0" fontId="0" fillId="0" borderId="49" xfId="0" applyBorder="1"/>
    <xf numFmtId="0" fontId="0" fillId="0" borderId="29" xfId="0" applyFill="1" applyBorder="1"/>
    <xf numFmtId="0" fontId="0" fillId="0" borderId="30" xfId="0" applyFill="1" applyBorder="1"/>
    <xf numFmtId="0" fontId="0" fillId="0" borderId="31" xfId="0" applyFill="1" applyBorder="1"/>
    <xf numFmtId="164" fontId="0" fillId="4" borderId="43" xfId="0" applyNumberFormat="1" applyFill="1" applyBorder="1"/>
    <xf numFmtId="164" fontId="0" fillId="4" borderId="44" xfId="0" applyNumberFormat="1" applyFill="1" applyBorder="1"/>
    <xf numFmtId="164" fontId="0" fillId="4" borderId="45" xfId="0" applyNumberFormat="1" applyFill="1" applyBorder="1"/>
    <xf numFmtId="164" fontId="0" fillId="4" borderId="0" xfId="0" applyNumberFormat="1" applyFill="1" applyBorder="1"/>
    <xf numFmtId="164" fontId="0" fillId="4" borderId="34" xfId="0" applyNumberFormat="1" applyFill="1" applyBorder="1"/>
    <xf numFmtId="164" fontId="0" fillId="4" borderId="35" xfId="0" applyNumberFormat="1" applyFill="1" applyBorder="1"/>
    <xf numFmtId="164" fontId="0" fillId="4" borderId="46" xfId="0" applyNumberFormat="1" applyFill="1" applyBorder="1"/>
    <xf numFmtId="164" fontId="0" fillId="4" borderId="47" xfId="0" applyNumberFormat="1" applyFill="1" applyBorder="1"/>
    <xf numFmtId="164" fontId="0" fillId="4" borderId="48" xfId="0" applyNumberFormat="1" applyFill="1" applyBorder="1"/>
    <xf numFmtId="164" fontId="0" fillId="4" borderId="5" xfId="0" applyNumberFormat="1" applyFill="1" applyBorder="1"/>
    <xf numFmtId="164" fontId="0" fillId="4" borderId="6" xfId="0" applyNumberFormat="1" applyFill="1" applyBorder="1"/>
    <xf numFmtId="164" fontId="0" fillId="4" borderId="3" xfId="0" applyNumberFormat="1" applyFill="1" applyBorder="1"/>
    <xf numFmtId="9" fontId="0" fillId="0" borderId="0" xfId="1" applyFont="1"/>
    <xf numFmtId="0" fontId="0" fillId="0" borderId="4" xfId="0" applyBorder="1"/>
    <xf numFmtId="0" fontId="0" fillId="7" borderId="1" xfId="0" applyFill="1" applyBorder="1"/>
    <xf numFmtId="0" fontId="0" fillId="7" borderId="4" xfId="0" applyFill="1" applyBorder="1"/>
    <xf numFmtId="0" fontId="1" fillId="0" borderId="0" xfId="0" applyFont="1"/>
    <xf numFmtId="164" fontId="0" fillId="0" borderId="0" xfId="0" applyNumberFormat="1" applyFill="1" applyBorder="1"/>
    <xf numFmtId="2" fontId="0" fillId="0" borderId="0" xfId="0" applyNumberFormat="1" applyBorder="1" applyAlignment="1">
      <alignment horizontal="right"/>
    </xf>
    <xf numFmtId="2" fontId="0" fillId="0" borderId="0" xfId="0" applyNumberFormat="1" applyBorder="1" applyAlignment="1">
      <alignment vertical="center"/>
    </xf>
    <xf numFmtId="165" fontId="0" fillId="0" borderId="0" xfId="0" applyNumberFormat="1" applyFill="1" applyBorder="1" applyAlignment="1">
      <alignment horizontal="right"/>
    </xf>
    <xf numFmtId="2" fontId="0" fillId="0" borderId="0" xfId="0" applyNumberFormat="1" applyBorder="1" applyAlignment="1"/>
    <xf numFmtId="0" fontId="0" fillId="0" borderId="16" xfId="0" applyBorder="1"/>
    <xf numFmtId="0" fontId="0" fillId="0" borderId="55" xfId="0" applyBorder="1"/>
    <xf numFmtId="0" fontId="0" fillId="0" borderId="12" xfId="0" applyBorder="1"/>
    <xf numFmtId="0" fontId="0" fillId="0" borderId="13" xfId="0" applyBorder="1" applyAlignment="1">
      <alignment horizontal="left"/>
    </xf>
    <xf numFmtId="0" fontId="0" fillId="0" borderId="51" xfId="0" applyBorder="1"/>
    <xf numFmtId="0" fontId="0" fillId="0" borderId="52" xfId="0" applyBorder="1"/>
    <xf numFmtId="0" fontId="0" fillId="0" borderId="53" xfId="0" applyBorder="1"/>
    <xf numFmtId="0" fontId="0" fillId="0" borderId="59" xfId="0" applyBorder="1"/>
    <xf numFmtId="164" fontId="0" fillId="4" borderId="1" xfId="0" applyNumberFormat="1" applyFill="1" applyBorder="1"/>
    <xf numFmtId="164" fontId="0" fillId="4" borderId="2" xfId="0" applyNumberFormat="1" applyFill="1" applyBorder="1"/>
    <xf numFmtId="0" fontId="1" fillId="0" borderId="0" xfId="0" applyFont="1" applyFill="1" applyBorder="1" applyAlignment="1">
      <alignment horizontal="left" vertical="center"/>
    </xf>
    <xf numFmtId="0" fontId="0" fillId="0" borderId="35" xfId="0" applyFont="1" applyBorder="1" applyAlignment="1">
      <alignment horizontal="left" wrapText="1"/>
    </xf>
    <xf numFmtId="0" fontId="0" fillId="0" borderId="0" xfId="0" applyFont="1" applyBorder="1" applyAlignment="1">
      <alignment horizontal="left" wrapText="1"/>
    </xf>
    <xf numFmtId="0" fontId="8" fillId="0" borderId="0" xfId="0" applyFont="1"/>
    <xf numFmtId="0" fontId="0" fillId="0" borderId="0" xfId="0" applyFill="1"/>
    <xf numFmtId="0" fontId="0" fillId="2" borderId="5" xfId="0" applyFill="1" applyBorder="1"/>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11" fillId="0" borderId="48" xfId="0" applyFont="1" applyBorder="1" applyAlignment="1">
      <alignment vertical="center"/>
    </xf>
    <xf numFmtId="0" fontId="12" fillId="0" borderId="35" xfId="0" applyFont="1" applyBorder="1" applyAlignment="1">
      <alignment vertical="center" wrapText="1"/>
    </xf>
    <xf numFmtId="0" fontId="12" fillId="0" borderId="48" xfId="0" applyFont="1" applyBorder="1" applyAlignment="1">
      <alignment vertical="center" wrapText="1"/>
    </xf>
    <xf numFmtId="9" fontId="12" fillId="0" borderId="48" xfId="0" applyNumberFormat="1" applyFont="1" applyBorder="1" applyAlignment="1">
      <alignment horizontal="right" vertical="center" wrapText="1"/>
    </xf>
    <xf numFmtId="0" fontId="12" fillId="0" borderId="48" xfId="0" applyFont="1" applyBorder="1" applyAlignment="1">
      <alignment vertical="center"/>
    </xf>
    <xf numFmtId="0" fontId="12" fillId="0" borderId="48" xfId="0" applyFont="1" applyBorder="1" applyAlignment="1">
      <alignment horizontal="right" vertical="center" wrapText="1"/>
    </xf>
    <xf numFmtId="0" fontId="13" fillId="0" borderId="48" xfId="0" applyFont="1" applyBorder="1" applyAlignment="1">
      <alignment vertical="center" wrapText="1"/>
    </xf>
    <xf numFmtId="9" fontId="13" fillId="0" borderId="48" xfId="0" applyNumberFormat="1" applyFont="1" applyBorder="1" applyAlignment="1">
      <alignment horizontal="right" vertical="center" wrapText="1"/>
    </xf>
    <xf numFmtId="9" fontId="13" fillId="0" borderId="48" xfId="0" applyNumberFormat="1" applyFont="1" applyBorder="1" applyAlignment="1">
      <alignment vertical="center" wrapText="1"/>
    </xf>
    <xf numFmtId="0" fontId="13" fillId="0" borderId="48" xfId="0" applyFont="1" applyBorder="1" applyAlignment="1">
      <alignment vertical="center"/>
    </xf>
    <xf numFmtId="0" fontId="14" fillId="0" borderId="48" xfId="0" applyFont="1" applyBorder="1" applyAlignment="1">
      <alignment vertical="center" wrapText="1"/>
    </xf>
    <xf numFmtId="0" fontId="12" fillId="0" borderId="3" xfId="0" applyFont="1" applyBorder="1" applyAlignment="1">
      <alignment vertical="center" wrapText="1"/>
    </xf>
    <xf numFmtId="0" fontId="12" fillId="0" borderId="48" xfId="0" applyFont="1" applyBorder="1" applyAlignment="1">
      <alignment horizontal="left" vertical="center" wrapText="1"/>
    </xf>
    <xf numFmtId="0" fontId="13" fillId="0" borderId="48" xfId="0" applyFont="1" applyBorder="1" applyAlignment="1">
      <alignment horizontal="left" vertical="center" wrapText="1"/>
    </xf>
    <xf numFmtId="9" fontId="13" fillId="0" borderId="48" xfId="0" applyNumberFormat="1" applyFont="1" applyBorder="1" applyAlignment="1">
      <alignment horizontal="left" vertical="center" wrapText="1"/>
    </xf>
    <xf numFmtId="1" fontId="15" fillId="0" borderId="0" xfId="0" applyNumberFormat="1" applyFont="1" applyFill="1" applyBorder="1" applyAlignment="1">
      <alignment horizontal="center" vertical="center" wrapText="1"/>
    </xf>
    <xf numFmtId="0" fontId="16" fillId="0" borderId="17" xfId="0" applyFont="1" applyBorder="1" applyAlignment="1">
      <alignment wrapText="1"/>
    </xf>
    <xf numFmtId="0" fontId="17" fillId="0" borderId="17" xfId="0" applyFont="1" applyBorder="1" applyAlignment="1">
      <alignment wrapText="1"/>
    </xf>
    <xf numFmtId="2" fontId="12" fillId="0" borderId="48" xfId="0" applyNumberFormat="1" applyFont="1" applyBorder="1" applyAlignment="1">
      <alignment horizontal="right" vertical="center" wrapText="1"/>
    </xf>
    <xf numFmtId="49" fontId="12" fillId="0" borderId="48" xfId="0" applyNumberFormat="1" applyFont="1" applyBorder="1" applyAlignment="1">
      <alignment horizontal="right" vertical="center" wrapText="1"/>
    </xf>
    <xf numFmtId="2" fontId="13" fillId="0" borderId="48" xfId="0" applyNumberFormat="1" applyFont="1" applyBorder="1" applyAlignment="1">
      <alignment horizontal="right" vertical="center" wrapText="1"/>
    </xf>
    <xf numFmtId="9" fontId="18" fillId="0" borderId="48" xfId="0" applyNumberFormat="1" applyFont="1" applyBorder="1" applyAlignment="1">
      <alignment horizontal="right" vertical="center" wrapText="1"/>
    </xf>
    <xf numFmtId="2" fontId="18" fillId="0" borderId="48" xfId="0" applyNumberFormat="1" applyFont="1" applyBorder="1" applyAlignment="1">
      <alignment horizontal="right" vertical="center" wrapText="1"/>
    </xf>
    <xf numFmtId="0" fontId="1" fillId="2" borderId="42" xfId="0" applyFont="1" applyFill="1" applyBorder="1" applyAlignment="1">
      <alignment horizontal="center" vertical="center"/>
    </xf>
    <xf numFmtId="0" fontId="0" fillId="0" borderId="0" xfId="0" applyAlignment="1">
      <alignment horizontal="left" vertical="center" wrapText="1"/>
    </xf>
    <xf numFmtId="0" fontId="1" fillId="3" borderId="5" xfId="0" applyFont="1" applyFill="1" applyBorder="1" applyAlignment="1">
      <alignment horizontal="left"/>
    </xf>
    <xf numFmtId="3" fontId="1" fillId="3" borderId="2" xfId="0" applyNumberFormat="1" applyFont="1" applyFill="1" applyBorder="1" applyAlignment="1">
      <alignment horizontal="right"/>
    </xf>
    <xf numFmtId="3" fontId="1" fillId="3" borderId="3" xfId="0" applyNumberFormat="1" applyFont="1" applyFill="1" applyBorder="1" applyAlignment="1">
      <alignment horizontal="right"/>
    </xf>
    <xf numFmtId="0" fontId="2" fillId="4" borderId="61" xfId="0" applyNumberFormat="1" applyFont="1" applyFill="1" applyBorder="1" applyAlignment="1">
      <alignment horizontal="center" vertical="center"/>
    </xf>
    <xf numFmtId="0" fontId="2" fillId="4" borderId="39" xfId="0" applyNumberFormat="1" applyFont="1" applyFill="1" applyBorder="1" applyAlignment="1">
      <alignment horizontal="center" vertical="center"/>
    </xf>
    <xf numFmtId="0" fontId="1" fillId="4" borderId="49" xfId="0" applyFont="1" applyFill="1" applyBorder="1" applyAlignment="1">
      <alignment horizontal="center"/>
    </xf>
    <xf numFmtId="3" fontId="2" fillId="4" borderId="29" xfId="0" applyNumberFormat="1" applyFont="1" applyFill="1" applyBorder="1" applyAlignment="1">
      <alignment vertical="center"/>
    </xf>
    <xf numFmtId="0" fontId="20" fillId="4" borderId="36" xfId="0" applyNumberFormat="1" applyFont="1" applyFill="1" applyBorder="1" applyAlignment="1">
      <alignment vertical="center"/>
    </xf>
    <xf numFmtId="0" fontId="20" fillId="4" borderId="27" xfId="0" applyNumberFormat="1" applyFont="1" applyFill="1" applyBorder="1" applyAlignment="1">
      <alignment vertical="center"/>
    </xf>
    <xf numFmtId="0" fontId="20" fillId="4" borderId="28" xfId="0" applyNumberFormat="1" applyFont="1" applyFill="1" applyBorder="1"/>
    <xf numFmtId="0" fontId="20" fillId="4" borderId="34" xfId="0" applyNumberFormat="1" applyFont="1" applyFill="1" applyBorder="1" applyAlignment="1">
      <alignment vertical="center"/>
    </xf>
    <xf numFmtId="0" fontId="20" fillId="4" borderId="15" xfId="0" applyNumberFormat="1" applyFont="1" applyFill="1" applyBorder="1" applyAlignment="1">
      <alignment vertical="center"/>
    </xf>
    <xf numFmtId="0" fontId="20" fillId="4" borderId="28" xfId="0" applyNumberFormat="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xf numFmtId="0" fontId="8" fillId="6" borderId="0" xfId="0" applyFont="1" applyFill="1" applyBorder="1" applyAlignment="1">
      <alignment horizontal="center"/>
    </xf>
    <xf numFmtId="0" fontId="1" fillId="3" borderId="0" xfId="0" applyFont="1" applyFill="1" applyAlignment="1">
      <alignment vertical="center"/>
    </xf>
    <xf numFmtId="0" fontId="0" fillId="3" borderId="0" xfId="0" applyFill="1"/>
    <xf numFmtId="0" fontId="1" fillId="0" borderId="0" xfId="0" applyFont="1" applyAlignment="1">
      <alignment vertical="center"/>
    </xf>
    <xf numFmtId="0" fontId="1" fillId="4" borderId="34" xfId="0" applyFont="1" applyFill="1" applyBorder="1" applyAlignment="1">
      <alignment horizontal="left" vertical="center"/>
    </xf>
    <xf numFmtId="3" fontId="1" fillId="4" borderId="51"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3" fontId="1" fillId="4" borderId="59" xfId="0" applyNumberFormat="1" applyFont="1" applyFill="1" applyBorder="1" applyAlignment="1">
      <alignment horizontal="center" vertical="center"/>
    </xf>
    <xf numFmtId="2" fontId="0" fillId="4" borderId="37" xfId="0" applyNumberFormat="1" applyFill="1" applyBorder="1" applyAlignment="1">
      <alignment horizontal="center" vertical="center"/>
    </xf>
    <xf numFmtId="2" fontId="0" fillId="4" borderId="61" xfId="0" applyNumberFormat="1" applyFill="1" applyBorder="1" applyAlignment="1">
      <alignment horizontal="center" vertical="center"/>
    </xf>
    <xf numFmtId="2" fontId="0" fillId="4" borderId="16" xfId="0" applyNumberFormat="1" applyFill="1" applyBorder="1" applyAlignment="1">
      <alignment horizontal="center" vertical="center"/>
    </xf>
    <xf numFmtId="2" fontId="0" fillId="4" borderId="39" xfId="0" applyNumberFormat="1" applyFill="1" applyBorder="1" applyAlignment="1">
      <alignment horizontal="center" vertic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41" xfId="0" applyFont="1" applyFill="1" applyBorder="1" applyAlignment="1">
      <alignment horizontal="center"/>
    </xf>
    <xf numFmtId="0" fontId="1" fillId="3" borderId="2" xfId="0" applyFont="1" applyFill="1" applyBorder="1" applyAlignment="1">
      <alignment horizontal="center"/>
    </xf>
    <xf numFmtId="3" fontId="1" fillId="3" borderId="23" xfId="0" applyNumberFormat="1" applyFont="1" applyFill="1" applyBorder="1" applyAlignment="1">
      <alignment horizontal="right"/>
    </xf>
    <xf numFmtId="3" fontId="1" fillId="3" borderId="24" xfId="0" applyNumberFormat="1" applyFont="1" applyFill="1" applyBorder="1" applyAlignment="1">
      <alignment horizontal="right"/>
    </xf>
    <xf numFmtId="3" fontId="1" fillId="3" borderId="42" xfId="0" applyNumberFormat="1" applyFont="1" applyFill="1" applyBorder="1" applyAlignment="1">
      <alignment horizontal="right"/>
    </xf>
    <xf numFmtId="0" fontId="1" fillId="3" borderId="9" xfId="0" applyFont="1" applyFill="1" applyBorder="1" applyAlignment="1">
      <alignment horizontal="center"/>
    </xf>
    <xf numFmtId="3" fontId="1" fillId="3" borderId="25" xfId="0" applyNumberFormat="1" applyFont="1" applyFill="1" applyBorder="1" applyAlignment="1">
      <alignment horizontal="right"/>
    </xf>
    <xf numFmtId="0" fontId="0" fillId="3" borderId="58" xfId="0" applyFill="1" applyBorder="1"/>
    <xf numFmtId="0" fontId="0" fillId="3" borderId="15" xfId="0" applyFill="1" applyBorder="1"/>
    <xf numFmtId="0" fontId="0" fillId="3" borderId="19" xfId="0" applyFill="1" applyBorder="1"/>
    <xf numFmtId="0" fontId="1" fillId="3" borderId="2" xfId="0" applyFont="1" applyFill="1" applyBorder="1"/>
    <xf numFmtId="0" fontId="0" fillId="3" borderId="26" xfId="0" applyFill="1" applyBorder="1"/>
    <xf numFmtId="0" fontId="0" fillId="3" borderId="34" xfId="0" applyFill="1" applyBorder="1"/>
    <xf numFmtId="0" fontId="0" fillId="3" borderId="46" xfId="0" applyFill="1" applyBorder="1"/>
    <xf numFmtId="3" fontId="0" fillId="10" borderId="14" xfId="0" applyNumberFormat="1" applyFill="1" applyBorder="1" applyAlignment="1">
      <alignment horizontal="right"/>
    </xf>
    <xf numFmtId="3" fontId="0" fillId="10" borderId="12" xfId="0" applyNumberFormat="1" applyFill="1" applyBorder="1" applyAlignment="1">
      <alignment horizontal="right"/>
    </xf>
    <xf numFmtId="3" fontId="0" fillId="10" borderId="38" xfId="0" applyNumberFormat="1" applyFill="1" applyBorder="1" applyAlignment="1">
      <alignment horizontal="right"/>
    </xf>
    <xf numFmtId="3" fontId="0" fillId="10" borderId="11" xfId="0" applyNumberFormat="1" applyFill="1" applyBorder="1"/>
    <xf numFmtId="3" fontId="0" fillId="10" borderId="18" xfId="0" applyNumberFormat="1" applyFill="1" applyBorder="1" applyAlignment="1">
      <alignment horizontal="right"/>
    </xf>
    <xf numFmtId="3" fontId="0" fillId="10" borderId="16" xfId="0" applyNumberFormat="1" applyFill="1" applyBorder="1" applyAlignment="1">
      <alignment horizontal="right"/>
    </xf>
    <xf numFmtId="3" fontId="0" fillId="10" borderId="39" xfId="0" applyNumberFormat="1" applyFill="1" applyBorder="1" applyAlignment="1">
      <alignment horizontal="right"/>
    </xf>
    <xf numFmtId="3" fontId="0" fillId="10" borderId="15" xfId="0" applyNumberFormat="1" applyFill="1" applyBorder="1"/>
    <xf numFmtId="3" fontId="0" fillId="10" borderId="22" xfId="0" applyNumberFormat="1" applyFill="1" applyBorder="1" applyAlignment="1">
      <alignment horizontal="right"/>
    </xf>
    <xf numFmtId="3" fontId="0" fillId="10" borderId="20" xfId="0" applyNumberFormat="1" applyFill="1" applyBorder="1" applyAlignment="1">
      <alignment horizontal="right"/>
    </xf>
    <xf numFmtId="3" fontId="0" fillId="10" borderId="40" xfId="0" applyNumberFormat="1" applyFill="1" applyBorder="1" applyAlignment="1">
      <alignment horizontal="right"/>
    </xf>
    <xf numFmtId="3" fontId="0" fillId="10" borderId="19" xfId="0" applyNumberFormat="1" applyFill="1" applyBorder="1"/>
    <xf numFmtId="2" fontId="0" fillId="10" borderId="10" xfId="0" applyNumberFormat="1" applyFill="1" applyBorder="1" applyAlignment="1">
      <alignment horizontal="right"/>
    </xf>
    <xf numFmtId="2" fontId="0" fillId="10" borderId="8" xfId="0" applyNumberFormat="1" applyFill="1" applyBorder="1" applyAlignment="1">
      <alignment horizontal="right"/>
    </xf>
    <xf numFmtId="2" fontId="0" fillId="10" borderId="9" xfId="0" applyNumberFormat="1" applyFill="1" applyBorder="1" applyAlignment="1">
      <alignment horizontal="right"/>
    </xf>
    <xf numFmtId="2" fontId="0" fillId="10" borderId="45" xfId="0" applyNumberFormat="1" applyFill="1" applyBorder="1" applyAlignment="1">
      <alignment vertical="center"/>
    </xf>
    <xf numFmtId="2" fontId="0" fillId="10" borderId="17" xfId="0" applyNumberFormat="1" applyFill="1" applyBorder="1" applyAlignment="1">
      <alignment horizontal="right"/>
    </xf>
    <xf numFmtId="2" fontId="0" fillId="10" borderId="57" xfId="0" applyNumberFormat="1" applyFill="1" applyBorder="1" applyAlignment="1">
      <alignment vertical="center"/>
    </xf>
    <xf numFmtId="2" fontId="0" fillId="10" borderId="29" xfId="0" applyNumberFormat="1" applyFill="1" applyBorder="1" applyAlignment="1"/>
    <xf numFmtId="2" fontId="0" fillId="10" borderId="30" xfId="0" applyNumberFormat="1" applyFill="1" applyBorder="1" applyAlignment="1"/>
    <xf numFmtId="2" fontId="0" fillId="10" borderId="31" xfId="0" applyNumberFormat="1" applyFill="1" applyBorder="1" applyAlignment="1"/>
    <xf numFmtId="2" fontId="0" fillId="10" borderId="33" xfId="0" applyNumberFormat="1" applyFill="1" applyBorder="1" applyAlignment="1">
      <alignment vertical="center"/>
    </xf>
    <xf numFmtId="0" fontId="4" fillId="4" borderId="49" xfId="0" applyNumberFormat="1" applyFont="1" applyFill="1" applyBorder="1" applyAlignment="1">
      <alignment horizontal="center" vertical="center"/>
    </xf>
    <xf numFmtId="3" fontId="0" fillId="10" borderId="13" xfId="0" applyNumberFormat="1" applyFill="1" applyBorder="1" applyAlignment="1">
      <alignment horizontal="right"/>
    </xf>
    <xf numFmtId="3" fontId="0" fillId="10" borderId="17" xfId="0" applyNumberFormat="1" applyFill="1" applyBorder="1" applyAlignment="1">
      <alignment horizontal="right"/>
    </xf>
    <xf numFmtId="3" fontId="0" fillId="10" borderId="21" xfId="0" applyNumberFormat="1" applyFill="1" applyBorder="1" applyAlignment="1">
      <alignment horizontal="right"/>
    </xf>
    <xf numFmtId="164" fontId="0" fillId="0" borderId="0" xfId="0" applyNumberFormat="1" applyBorder="1" applyAlignment="1">
      <alignment horizontal="center"/>
    </xf>
    <xf numFmtId="2" fontId="0" fillId="0" borderId="0" xfId="0" applyNumberFormat="1" applyFill="1" applyBorder="1" applyAlignment="1">
      <alignment horizontal="right"/>
    </xf>
    <xf numFmtId="3" fontId="6" fillId="10" borderId="14" xfId="0" applyNumberFormat="1" applyFont="1" applyFill="1" applyBorder="1" applyAlignment="1">
      <alignment horizontal="right"/>
    </xf>
    <xf numFmtId="3" fontId="6" fillId="10" borderId="12" xfId="0" applyNumberFormat="1" applyFont="1" applyFill="1" applyBorder="1" applyAlignment="1">
      <alignment horizontal="right"/>
    </xf>
    <xf numFmtId="3" fontId="6" fillId="10" borderId="13" xfId="0" applyNumberFormat="1" applyFont="1" applyFill="1" applyBorder="1" applyAlignment="1">
      <alignment horizontal="right"/>
    </xf>
    <xf numFmtId="3" fontId="0" fillId="10" borderId="29" xfId="0" applyNumberFormat="1" applyFill="1" applyBorder="1" applyAlignment="1">
      <alignment horizontal="right"/>
    </xf>
    <xf numFmtId="3" fontId="0" fillId="10" borderId="30" xfId="0" applyNumberFormat="1" applyFill="1" applyBorder="1" applyAlignment="1">
      <alignment horizontal="right"/>
    </xf>
    <xf numFmtId="3" fontId="0" fillId="10" borderId="31" xfId="0" applyNumberFormat="1" applyFill="1" applyBorder="1" applyAlignment="1">
      <alignment horizontal="right"/>
    </xf>
    <xf numFmtId="9" fontId="0" fillId="4" borderId="16" xfId="1"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10" borderId="36" xfId="0" applyFill="1" applyBorder="1"/>
    <xf numFmtId="3" fontId="0" fillId="10" borderId="11" xfId="0" applyNumberFormat="1" applyFill="1" applyBorder="1" applyAlignment="1">
      <alignment horizontal="right"/>
    </xf>
    <xf numFmtId="3" fontId="0" fillId="10" borderId="58" xfId="0" applyNumberFormat="1" applyFill="1" applyBorder="1" applyAlignment="1">
      <alignment horizontal="right"/>
    </xf>
    <xf numFmtId="0" fontId="0" fillId="10" borderId="27" xfId="0" applyFill="1" applyBorder="1"/>
    <xf numFmtId="3" fontId="0" fillId="10" borderId="15" xfId="0" applyNumberFormat="1" applyFill="1" applyBorder="1" applyAlignment="1">
      <alignment horizontal="right"/>
    </xf>
    <xf numFmtId="3" fontId="0" fillId="10" borderId="57" xfId="0" applyNumberFormat="1" applyFill="1" applyBorder="1" applyAlignment="1">
      <alignment horizontal="right"/>
    </xf>
    <xf numFmtId="0" fontId="9" fillId="5" borderId="0" xfId="0" applyFont="1" applyFill="1" applyBorder="1"/>
    <xf numFmtId="0" fontId="0" fillId="5" borderId="0" xfId="0" applyFill="1" applyAlignment="1">
      <alignment vertical="center" wrapText="1"/>
    </xf>
    <xf numFmtId="0" fontId="0" fillId="5" borderId="0" xfId="0" applyFill="1"/>
    <xf numFmtId="9" fontId="0" fillId="5" borderId="0" xfId="1" applyFont="1" applyFill="1" applyBorder="1" applyAlignment="1">
      <alignment horizontal="left"/>
    </xf>
    <xf numFmtId="9" fontId="0" fillId="5" borderId="0" xfId="1" applyFont="1" applyFill="1" applyBorder="1"/>
    <xf numFmtId="0" fontId="0" fillId="5" borderId="0" xfId="0" applyFill="1" applyBorder="1" applyAlignment="1">
      <alignment horizontal="left"/>
    </xf>
    <xf numFmtId="0" fontId="0" fillId="5" borderId="0" xfId="0" applyFill="1" applyAlignment="1">
      <alignment wrapText="1"/>
    </xf>
    <xf numFmtId="3" fontId="1" fillId="11" borderId="53" xfId="0" applyNumberFormat="1" applyFont="1" applyFill="1" applyBorder="1" applyAlignment="1">
      <alignment horizontal="center" vertical="center"/>
    </xf>
    <xf numFmtId="2" fontId="0" fillId="11" borderId="62" xfId="0" applyNumberFormat="1" applyFill="1" applyBorder="1"/>
    <xf numFmtId="2" fontId="0" fillId="11" borderId="17" xfId="0" applyNumberFormat="1" applyFill="1" applyBorder="1"/>
    <xf numFmtId="2" fontId="0" fillId="11" borderId="31" xfId="0" applyNumberFormat="1" applyFill="1" applyBorder="1"/>
    <xf numFmtId="0" fontId="1" fillId="3" borderId="5" xfId="0" applyFont="1" applyFill="1" applyBorder="1" applyAlignment="1">
      <alignment horizontal="left" vertical="center"/>
    </xf>
    <xf numFmtId="164" fontId="0" fillId="3" borderId="34" xfId="0" applyNumberFormat="1" applyFill="1" applyBorder="1"/>
    <xf numFmtId="164" fontId="0" fillId="3" borderId="0" xfId="0" applyNumberFormat="1" applyFill="1" applyBorder="1"/>
    <xf numFmtId="164" fontId="0" fillId="3" borderId="35" xfId="0" applyNumberFormat="1" applyFill="1" applyBorder="1"/>
    <xf numFmtId="164" fontId="0" fillId="3" borderId="43" xfId="0" applyNumberFormat="1" applyFill="1" applyBorder="1"/>
    <xf numFmtId="164" fontId="0" fillId="3" borderId="44" xfId="0" applyNumberFormat="1" applyFill="1" applyBorder="1"/>
    <xf numFmtId="164" fontId="0" fillId="3" borderId="45" xfId="0" applyNumberFormat="1" applyFill="1" applyBorder="1"/>
    <xf numFmtId="164" fontId="0" fillId="3" borderId="46" xfId="0" applyNumberFormat="1" applyFill="1" applyBorder="1"/>
    <xf numFmtId="164" fontId="0" fillId="3" borderId="48" xfId="0" applyNumberFormat="1" applyFill="1" applyBorder="1"/>
    <xf numFmtId="164" fontId="0" fillId="3" borderId="47" xfId="0" applyNumberFormat="1" applyFill="1" applyBorder="1"/>
    <xf numFmtId="164" fontId="0" fillId="3" borderId="5" xfId="0" applyNumberFormat="1" applyFill="1" applyBorder="1"/>
    <xf numFmtId="164" fontId="0" fillId="3" borderId="6" xfId="0" applyNumberFormat="1" applyFill="1" applyBorder="1"/>
    <xf numFmtId="164" fontId="0" fillId="3" borderId="3" xfId="0" applyNumberFormat="1" applyFill="1" applyBorder="1"/>
    <xf numFmtId="0" fontId="1" fillId="0" borderId="7" xfId="0" applyFont="1" applyBorder="1"/>
    <xf numFmtId="0" fontId="0" fillId="0" borderId="0" xfId="0" applyFill="1" applyBorder="1" applyAlignment="1">
      <alignment vertical="top" wrapText="1"/>
    </xf>
    <xf numFmtId="0" fontId="16" fillId="0" borderId="4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46" xfId="0" applyFont="1" applyBorder="1" applyAlignment="1">
      <alignment vertical="center" wrapText="1"/>
    </xf>
    <xf numFmtId="0" fontId="16" fillId="0" borderId="47" xfId="0" applyFont="1" applyBorder="1" applyAlignment="1">
      <alignment horizontal="center" vertical="center" wrapText="1"/>
    </xf>
    <xf numFmtId="9" fontId="16" fillId="0" borderId="48" xfId="0" applyNumberFormat="1" applyFont="1" applyBorder="1" applyAlignment="1">
      <alignment horizontal="center" vertical="center" wrapText="1"/>
    </xf>
    <xf numFmtId="0" fontId="24" fillId="8" borderId="14" xfId="0" applyFont="1" applyFill="1" applyBorder="1" applyAlignment="1">
      <alignment wrapText="1"/>
    </xf>
    <xf numFmtId="0" fontId="24" fillId="8" borderId="12" xfId="0" applyFont="1" applyFill="1" applyBorder="1" applyAlignment="1">
      <alignment wrapText="1"/>
    </xf>
    <xf numFmtId="0" fontId="24" fillId="8" borderId="13" xfId="0" applyFont="1" applyFill="1" applyBorder="1" applyAlignment="1">
      <alignment wrapText="1"/>
    </xf>
    <xf numFmtId="0" fontId="25" fillId="0" borderId="18" xfId="0" applyFont="1" applyBorder="1" applyAlignment="1">
      <alignment wrapText="1"/>
    </xf>
    <xf numFmtId="2" fontId="25" fillId="0" borderId="16" xfId="0" applyNumberFormat="1" applyFont="1" applyBorder="1" applyAlignment="1">
      <alignment wrapText="1"/>
    </xf>
    <xf numFmtId="0" fontId="25" fillId="0" borderId="16" xfId="0" applyFont="1" applyBorder="1" applyAlignment="1">
      <alignment wrapText="1"/>
    </xf>
    <xf numFmtId="0" fontId="26" fillId="0" borderId="16" xfId="0" applyFont="1" applyBorder="1" applyAlignment="1">
      <alignment wrapText="1"/>
    </xf>
    <xf numFmtId="1" fontId="25" fillId="0" borderId="16" xfId="0" applyNumberFormat="1" applyFont="1" applyBorder="1" applyAlignment="1">
      <alignment wrapText="1"/>
    </xf>
    <xf numFmtId="164" fontId="25" fillId="0" borderId="16" xfId="0" applyNumberFormat="1" applyFont="1" applyBorder="1" applyAlignment="1">
      <alignment wrapText="1"/>
    </xf>
    <xf numFmtId="0" fontId="26" fillId="0" borderId="17" xfId="0" applyFont="1" applyBorder="1" applyAlignment="1">
      <alignment wrapText="1"/>
    </xf>
    <xf numFmtId="164" fontId="25" fillId="0" borderId="39" xfId="0" applyNumberFormat="1" applyFont="1" applyBorder="1" applyAlignment="1">
      <alignment wrapText="1"/>
    </xf>
    <xf numFmtId="0" fontId="25" fillId="0" borderId="70" xfId="0" applyFont="1" applyBorder="1" applyAlignment="1">
      <alignment wrapText="1"/>
    </xf>
    <xf numFmtId="2" fontId="25" fillId="0" borderId="39" xfId="0" applyNumberFormat="1" applyFont="1" applyBorder="1" applyAlignment="1">
      <alignment wrapText="1"/>
    </xf>
    <xf numFmtId="0" fontId="25" fillId="0" borderId="17" xfId="0" applyFont="1" applyBorder="1" applyAlignment="1">
      <alignment wrapText="1"/>
    </xf>
    <xf numFmtId="11" fontId="25" fillId="0" borderId="16" xfId="0" applyNumberFormat="1" applyFont="1" applyBorder="1" applyAlignment="1">
      <alignment wrapText="1"/>
    </xf>
    <xf numFmtId="1" fontId="25" fillId="0" borderId="39" xfId="0" applyNumberFormat="1" applyFont="1" applyBorder="1" applyAlignment="1">
      <alignment wrapText="1"/>
    </xf>
    <xf numFmtId="0" fontId="25" fillId="0" borderId="29" xfId="0" applyFont="1" applyBorder="1" applyAlignment="1">
      <alignment wrapText="1"/>
    </xf>
    <xf numFmtId="2" fontId="25" fillId="0" borderId="30" xfId="0" applyNumberFormat="1" applyFont="1" applyBorder="1" applyAlignment="1">
      <alignment wrapText="1"/>
    </xf>
    <xf numFmtId="0" fontId="25" fillId="0" borderId="30" xfId="0" applyFont="1" applyBorder="1" applyAlignment="1">
      <alignment wrapText="1"/>
    </xf>
    <xf numFmtId="0" fontId="26" fillId="0" borderId="31" xfId="0" applyFont="1" applyBorder="1" applyAlignment="1">
      <alignment wrapText="1"/>
    </xf>
    <xf numFmtId="2" fontId="0" fillId="0" borderId="0" xfId="0" applyNumberFormat="1" applyBorder="1" applyAlignment="1">
      <alignment horizontal="center"/>
    </xf>
    <xf numFmtId="0" fontId="0" fillId="0" borderId="12" xfId="0" applyBorder="1" applyAlignment="1">
      <alignment horizontal="left"/>
    </xf>
    <xf numFmtId="0" fontId="12" fillId="0" borderId="4" xfId="0" applyFont="1" applyBorder="1" applyAlignment="1">
      <alignment vertical="center" wrapText="1"/>
    </xf>
    <xf numFmtId="0" fontId="11" fillId="0" borderId="3" xfId="0" applyFont="1" applyBorder="1" applyAlignment="1">
      <alignment horizontal="center" vertical="center"/>
    </xf>
    <xf numFmtId="0" fontId="0" fillId="0" borderId="0" xfId="0" applyBorder="1" applyAlignment="1">
      <alignment horizontal="left" vertical="top"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4" borderId="29" xfId="0" applyFill="1" applyBorder="1" applyAlignment="1">
      <alignment vertical="center"/>
    </xf>
    <xf numFmtId="0" fontId="0" fillId="4" borderId="30" xfId="0" applyFill="1" applyBorder="1" applyAlignment="1">
      <alignment vertical="center"/>
    </xf>
    <xf numFmtId="0" fontId="0" fillId="4" borderId="49" xfId="0" applyFill="1" applyBorder="1" applyAlignment="1">
      <alignment vertical="center"/>
    </xf>
    <xf numFmtId="0" fontId="0" fillId="4" borderId="60" xfId="0" applyFill="1" applyBorder="1" applyAlignment="1">
      <alignment vertical="center"/>
    </xf>
    <xf numFmtId="0" fontId="0" fillId="4" borderId="18" xfId="0" applyFill="1" applyBorder="1" applyAlignment="1">
      <alignment vertical="center"/>
    </xf>
    <xf numFmtId="0" fontId="1" fillId="2" borderId="25" xfId="0" applyFont="1" applyFill="1" applyBorder="1" applyAlignment="1">
      <alignment horizontal="center" vertical="center"/>
    </xf>
    <xf numFmtId="166" fontId="0" fillId="4" borderId="30" xfId="0" applyNumberFormat="1" applyFill="1" applyBorder="1" applyAlignment="1">
      <alignment horizontal="center" vertical="center"/>
    </xf>
    <xf numFmtId="166" fontId="0" fillId="4" borderId="49" xfId="0" applyNumberFormat="1" applyFill="1" applyBorder="1" applyAlignment="1">
      <alignment horizontal="center" vertical="center"/>
    </xf>
    <xf numFmtId="3" fontId="2" fillId="0" borderId="6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4" fontId="2" fillId="0" borderId="29" xfId="0" applyNumberFormat="1" applyFont="1" applyFill="1" applyBorder="1" applyAlignment="1" applyProtection="1">
      <alignment vertical="center"/>
      <protection locked="0"/>
    </xf>
    <xf numFmtId="3" fontId="2" fillId="8" borderId="60" xfId="0" applyNumberFormat="1" applyFont="1" applyFill="1" applyBorder="1" applyAlignment="1" applyProtection="1">
      <alignment vertical="center"/>
      <protection locked="0"/>
    </xf>
    <xf numFmtId="3" fontId="2" fillId="8" borderId="18" xfId="0" applyNumberFormat="1" applyFont="1" applyFill="1" applyBorder="1" applyAlignment="1" applyProtection="1">
      <alignment vertical="center"/>
      <protection locked="0"/>
    </xf>
    <xf numFmtId="9" fontId="3" fillId="8" borderId="16" xfId="1" applyFont="1" applyFill="1" applyBorder="1" applyAlignment="1" applyProtection="1">
      <alignment vertical="center"/>
      <protection locked="0"/>
    </xf>
    <xf numFmtId="0" fontId="0" fillId="0" borderId="11" xfId="0" applyBorder="1" applyProtection="1">
      <protection locked="0"/>
    </xf>
    <xf numFmtId="0" fontId="0" fillId="0" borderId="15" xfId="0" applyBorder="1" applyProtection="1">
      <protection locked="0"/>
    </xf>
    <xf numFmtId="0" fontId="0" fillId="0" borderId="76" xfId="0" applyBorder="1" applyProtection="1">
      <protection locked="0"/>
    </xf>
    <xf numFmtId="0" fontId="0" fillId="0" borderId="7" xfId="0" applyBorder="1" applyProtection="1">
      <protection locked="0"/>
    </xf>
    <xf numFmtId="2" fontId="0" fillId="10" borderId="18" xfId="0" applyNumberFormat="1" applyFill="1" applyBorder="1" applyAlignment="1"/>
    <xf numFmtId="2" fontId="0" fillId="10" borderId="16" xfId="0" applyNumberFormat="1" applyFill="1" applyBorder="1" applyAlignment="1"/>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8" fillId="6" borderId="0" xfId="0" applyFont="1" applyFill="1" applyBorder="1" applyAlignment="1">
      <alignment horizontal="center" vertical="center"/>
    </xf>
    <xf numFmtId="2" fontId="0" fillId="0" borderId="0" xfId="0" applyNumberFormat="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3" xfId="0" applyFont="1" applyFill="1" applyBorder="1" applyAlignment="1">
      <alignment horizontal="center"/>
    </xf>
    <xf numFmtId="0" fontId="9" fillId="13" borderId="43" xfId="0" applyFont="1" applyFill="1" applyBorder="1" applyAlignment="1">
      <alignment horizontal="center" vertical="center"/>
    </xf>
    <xf numFmtId="0" fontId="9" fillId="13" borderId="44" xfId="0" applyFont="1" applyFill="1" applyBorder="1" applyAlignment="1">
      <alignment horizontal="center" vertical="center"/>
    </xf>
    <xf numFmtId="0" fontId="9" fillId="13" borderId="45" xfId="0" applyFont="1" applyFill="1" applyBorder="1" applyAlignment="1">
      <alignment horizontal="center" vertical="center"/>
    </xf>
    <xf numFmtId="0" fontId="9" fillId="13" borderId="46" xfId="0" applyFont="1" applyFill="1" applyBorder="1" applyAlignment="1">
      <alignment horizontal="center" vertical="center"/>
    </xf>
    <xf numFmtId="0" fontId="9" fillId="13" borderId="47" xfId="0" applyFont="1" applyFill="1" applyBorder="1" applyAlignment="1">
      <alignment horizontal="center" vertical="center"/>
    </xf>
    <xf numFmtId="0" fontId="9" fillId="13" borderId="48" xfId="0" applyFont="1" applyFill="1" applyBorder="1" applyAlignment="1">
      <alignment horizontal="center" vertical="center"/>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9" fontId="0" fillId="4" borderId="16" xfId="1" applyFont="1" applyFill="1" applyBorder="1" applyAlignment="1">
      <alignment horizontal="left"/>
    </xf>
    <xf numFmtId="9" fontId="0" fillId="4" borderId="16" xfId="1"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4" borderId="16" xfId="0" applyFont="1" applyFill="1" applyBorder="1" applyAlignment="1">
      <alignment horizontal="left" vertical="center" wrapText="1"/>
    </xf>
    <xf numFmtId="0" fontId="0" fillId="4" borderId="27" xfId="0" applyFill="1" applyBorder="1" applyAlignment="1">
      <alignment vertical="center"/>
    </xf>
    <xf numFmtId="0" fontId="0" fillId="4" borderId="56" xfId="0" applyFill="1" applyBorder="1" applyAlignment="1">
      <alignment vertical="center"/>
    </xf>
    <xf numFmtId="0" fontId="0" fillId="4" borderId="57" xfId="0" applyFill="1" applyBorder="1" applyAlignment="1">
      <alignment vertical="center"/>
    </xf>
    <xf numFmtId="0" fontId="1" fillId="12" borderId="5" xfId="0" applyFont="1" applyFill="1" applyBorder="1" applyAlignment="1">
      <alignment horizontal="center" vertical="center"/>
    </xf>
    <xf numFmtId="0" fontId="1" fillId="1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7" fillId="14" borderId="5"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0" fillId="4" borderId="28"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4" borderId="16" xfId="0" applyFill="1" applyBorder="1" applyAlignment="1">
      <alignment horizontal="left"/>
    </xf>
    <xf numFmtId="0" fontId="0" fillId="4" borderId="16" xfId="0" applyFill="1" applyBorder="1" applyAlignment="1">
      <alignment horizontal="left" vertical="center"/>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3" fontId="1" fillId="3" borderId="43" xfId="0" applyNumberFormat="1" applyFont="1" applyFill="1" applyBorder="1" applyAlignment="1">
      <alignment horizontal="right" vertical="center"/>
    </xf>
    <xf numFmtId="3" fontId="1" fillId="3" borderId="46" xfId="0" applyNumberFormat="1" applyFont="1" applyFill="1" applyBorder="1" applyAlignment="1">
      <alignment horizontal="right" vertical="center"/>
    </xf>
    <xf numFmtId="0" fontId="1" fillId="3" borderId="44" xfId="0" applyFont="1" applyFill="1" applyBorder="1" applyAlignment="1">
      <alignment horizontal="left" vertical="center"/>
    </xf>
    <xf numFmtId="0" fontId="1" fillId="3" borderId="45" xfId="0" applyFont="1" applyFill="1" applyBorder="1" applyAlignment="1">
      <alignment horizontal="left" vertical="center"/>
    </xf>
    <xf numFmtId="0" fontId="1" fillId="3" borderId="47" xfId="0" applyFont="1" applyFill="1" applyBorder="1" applyAlignment="1">
      <alignment horizontal="left" vertical="center"/>
    </xf>
    <xf numFmtId="0" fontId="1" fillId="3" borderId="48" xfId="0" applyFont="1" applyFill="1" applyBorder="1" applyAlignment="1">
      <alignment horizontal="left" vertical="center"/>
    </xf>
    <xf numFmtId="3" fontId="1" fillId="3" borderId="43" xfId="1" applyNumberFormat="1" applyFont="1" applyFill="1" applyBorder="1" applyAlignment="1">
      <alignment horizontal="right" vertical="center"/>
    </xf>
    <xf numFmtId="3" fontId="1" fillId="3" borderId="46" xfId="1" applyNumberFormat="1" applyFont="1" applyFill="1" applyBorder="1" applyAlignment="1">
      <alignment horizontal="right" vertic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0" fillId="0" borderId="14"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9" fontId="0" fillId="7" borderId="46" xfId="0" applyNumberFormat="1" applyFill="1" applyBorder="1" applyAlignment="1">
      <alignment horizontal="center"/>
    </xf>
    <xf numFmtId="9" fontId="0" fillId="7" borderId="47" xfId="0" applyNumberFormat="1" applyFill="1" applyBorder="1" applyAlignment="1">
      <alignment horizontal="center"/>
    </xf>
    <xf numFmtId="9" fontId="0" fillId="7" borderId="48" xfId="0" applyNumberFormat="1" applyFill="1" applyBorder="1" applyAlignment="1">
      <alignment horizontal="center"/>
    </xf>
    <xf numFmtId="9" fontId="0" fillId="7" borderId="0" xfId="0" applyNumberFormat="1" applyFill="1" applyBorder="1" applyAlignment="1">
      <alignment horizontal="center"/>
    </xf>
    <xf numFmtId="9" fontId="0" fillId="7" borderId="35" xfId="0" applyNumberFormat="1" applyFill="1" applyBorder="1" applyAlignment="1">
      <alignment horizontal="center"/>
    </xf>
    <xf numFmtId="9" fontId="0" fillId="7" borderId="34" xfId="0" applyNumberForma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9"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9"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4" xfId="0" applyBorder="1" applyAlignment="1">
      <alignment horizontal="center"/>
    </xf>
    <xf numFmtId="0" fontId="0" fillId="0" borderId="0" xfId="0" applyAlignment="1">
      <alignment horizontal="center"/>
    </xf>
    <xf numFmtId="9" fontId="0" fillId="7" borderId="50" xfId="0" applyNumberFormat="1" applyFill="1" applyBorder="1" applyAlignment="1">
      <alignment horizontal="center"/>
    </xf>
    <xf numFmtId="0" fontId="0" fillId="7" borderId="74" xfId="0" applyFill="1" applyBorder="1" applyAlignment="1">
      <alignment horizontal="center"/>
    </xf>
    <xf numFmtId="0" fontId="0" fillId="7" borderId="75" xfId="0" applyFill="1" applyBorder="1" applyAlignment="1">
      <alignment horizontal="center"/>
    </xf>
    <xf numFmtId="0" fontId="25" fillId="8" borderId="39" xfId="0" applyFont="1" applyFill="1" applyBorder="1" applyAlignment="1">
      <alignment horizontal="left" wrapText="1"/>
    </xf>
    <xf numFmtId="0" fontId="25" fillId="8" borderId="70" xfId="0" applyFont="1" applyFill="1" applyBorder="1" applyAlignment="1">
      <alignment horizontal="left" wrapText="1"/>
    </xf>
    <xf numFmtId="0" fontId="16" fillId="0" borderId="43" xfId="0" applyFont="1" applyBorder="1" applyAlignment="1">
      <alignment vertical="center" wrapText="1"/>
    </xf>
    <xf numFmtId="0" fontId="16" fillId="0" borderId="72" xfId="0" applyFont="1" applyBorder="1" applyAlignment="1">
      <alignment vertical="center" wrapText="1"/>
    </xf>
    <xf numFmtId="0" fontId="16" fillId="0" borderId="45" xfId="0" applyFont="1" applyBorder="1" applyAlignment="1">
      <alignment horizontal="center" vertical="center" wrapText="1"/>
    </xf>
    <xf numFmtId="0" fontId="16" fillId="0" borderId="73" xfId="0" applyFont="1" applyBorder="1" applyAlignment="1">
      <alignment horizontal="center" vertical="center" wrapText="1"/>
    </xf>
    <xf numFmtId="0" fontId="12" fillId="0" borderId="67" xfId="0" applyFont="1" applyBorder="1" applyAlignment="1">
      <alignment horizontal="left" vertical="center" wrapText="1"/>
    </xf>
    <xf numFmtId="0" fontId="12" fillId="0" borderId="4" xfId="0" applyFont="1" applyBorder="1" applyAlignment="1">
      <alignment horizontal="left" vertical="center" wrapText="1"/>
    </xf>
    <xf numFmtId="0" fontId="13" fillId="0" borderId="67" xfId="0" applyFont="1" applyBorder="1" applyAlignment="1">
      <alignment horizontal="left" vertical="center" wrapText="1"/>
    </xf>
    <xf numFmtId="0" fontId="13" fillId="0" borderId="4" xfId="0" applyFont="1" applyBorder="1" applyAlignment="1">
      <alignment horizontal="left" vertical="center" wrapText="1"/>
    </xf>
    <xf numFmtId="0" fontId="12" fillId="0" borderId="67" xfId="0" applyFont="1" applyBorder="1" applyAlignment="1">
      <alignment vertical="center" wrapText="1"/>
    </xf>
    <xf numFmtId="0" fontId="12" fillId="0" borderId="4" xfId="0" applyFont="1" applyBorder="1" applyAlignment="1">
      <alignment vertical="center" wrapText="1"/>
    </xf>
    <xf numFmtId="0" fontId="12" fillId="0" borderId="1" xfId="0" applyFont="1" applyBorder="1" applyAlignment="1">
      <alignment vertical="center" wrapText="1"/>
    </xf>
    <xf numFmtId="0" fontId="13" fillId="0" borderId="67" xfId="0" applyFont="1" applyBorder="1" applyAlignment="1">
      <alignment vertical="center" wrapText="1"/>
    </xf>
    <xf numFmtId="0" fontId="13" fillId="0" borderId="4" xfId="0" applyFont="1" applyBorder="1" applyAlignment="1">
      <alignment vertical="center" wrapText="1"/>
    </xf>
    <xf numFmtId="0" fontId="12" fillId="0" borderId="67" xfId="0" applyFont="1" applyBorder="1" applyAlignment="1">
      <alignment vertical="center"/>
    </xf>
    <xf numFmtId="0" fontId="12" fillId="0" borderId="4" xfId="0" applyFont="1" applyBorder="1" applyAlignment="1">
      <alignment vertical="center"/>
    </xf>
    <xf numFmtId="0" fontId="11" fillId="0" borderId="66" xfId="0" applyFont="1" applyBorder="1" applyAlignment="1">
      <alignment horizontal="center" vertical="center"/>
    </xf>
    <xf numFmtId="0" fontId="11" fillId="0" borderId="3" xfId="0" applyFont="1" applyBorder="1" applyAlignment="1">
      <alignment horizontal="center" vertical="center"/>
    </xf>
    <xf numFmtId="0" fontId="11" fillId="0" borderId="67" xfId="0" applyFont="1" applyBorder="1" applyAlignment="1">
      <alignment vertical="center"/>
    </xf>
    <xf numFmtId="0" fontId="11" fillId="0" borderId="4" xfId="0" applyFont="1" applyBorder="1" applyAlignment="1">
      <alignment vertical="center"/>
    </xf>
    <xf numFmtId="0" fontId="12" fillId="0" borderId="68" xfId="0" applyFont="1" applyBorder="1" applyAlignment="1">
      <alignment vertical="center" wrapText="1"/>
    </xf>
    <xf numFmtId="0" fontId="4" fillId="3" borderId="43"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12" fillId="0" borderId="69" xfId="0" applyFont="1" applyBorder="1" applyAlignment="1">
      <alignment vertical="center" wrapText="1"/>
    </xf>
    <xf numFmtId="0" fontId="13" fillId="0" borderId="67" xfId="0" applyFont="1" applyBorder="1" applyAlignment="1">
      <alignment vertical="center"/>
    </xf>
    <xf numFmtId="0" fontId="13" fillId="0" borderId="4" xfId="0" applyFont="1" applyBorder="1" applyAlignment="1">
      <alignment vertical="center"/>
    </xf>
    <xf numFmtId="0" fontId="12" fillId="0" borderId="67" xfId="0" applyFont="1" applyBorder="1" applyAlignment="1">
      <alignment horizontal="justify" vertical="center" wrapText="1"/>
    </xf>
    <xf numFmtId="0" fontId="12" fillId="0" borderId="4" xfId="0" applyFont="1" applyBorder="1" applyAlignment="1">
      <alignment horizontal="justify" vertical="center" wrapText="1"/>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cellXfs>
  <cellStyles count="2">
    <cellStyle name="Normal" xfId="0" builtinId="0"/>
    <cellStyle name="Prosent" xfId="1" builtinId="5"/>
  </cellStyles>
  <dxfs count="0"/>
  <tableStyles count="0" defaultTableStyle="TableStyleMedium2" defaultPivotStyle="PivotStyleMedium9"/>
  <colors>
    <mruColors>
      <color rgb="FF7CB953"/>
      <color rgb="FFA0CB83"/>
      <color rgb="FFFFF2CC"/>
      <color rgb="FFE0E0E0"/>
      <color rgb="FFE6EBF6"/>
      <color rgb="FFECF5E7"/>
      <color rgb="FFF6FAF4"/>
      <color rgb="FFB4C6E7"/>
      <color rgb="FFDDE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nb-NO" sz="1400" b="1"/>
              <a:t>Anbefalt utslippsramme, ekskl. grunn og fundamenter</a:t>
            </a:r>
          </a:p>
        </c:rich>
      </c:tx>
      <c:layout>
        <c:manualLayout>
          <c:xMode val="edge"/>
          <c:yMode val="edge"/>
          <c:x val="0.17504195771989414"/>
          <c:y val="2.125824868331919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1342756068534911"/>
          <c:y val="0.15144244111153912"/>
          <c:w val="0.85620666981844662"/>
          <c:h val="0.70727909837593361"/>
        </c:manualLayout>
      </c:layout>
      <c:barChart>
        <c:barDir val="col"/>
        <c:grouping val="clustered"/>
        <c:varyColors val="0"/>
        <c:ser>
          <c:idx val="0"/>
          <c:order val="0"/>
          <c:tx>
            <c:strRef>
              <c:f>Verktøy!$A$30</c:f>
              <c:strCache>
                <c:ptCount val="1"/>
                <c:pt idx="0">
                  <c:v>Tonn CO2-ekv. over 60 år</c:v>
                </c:pt>
              </c:strCache>
            </c:strRef>
          </c:tx>
          <c:spPr>
            <a:solidFill>
              <a:schemeClr val="accent1"/>
            </a:solidFill>
            <a:ln>
              <a:noFill/>
            </a:ln>
            <a:effectLst/>
          </c:spPr>
          <c:invertIfNegative val="0"/>
          <c:cat>
            <c:strRef>
              <c:f>Verktøy!$B$29:$E$29</c:f>
              <c:strCache>
                <c:ptCount val="4"/>
                <c:pt idx="0">
                  <c:v>Basis</c:v>
                </c:pt>
                <c:pt idx="1">
                  <c:v>Avansert</c:v>
                </c:pt>
                <c:pt idx="2">
                  <c:v>Spydspiss</c:v>
                </c:pt>
                <c:pt idx="3">
                  <c:v>Egendefinert</c:v>
                </c:pt>
              </c:strCache>
            </c:strRef>
          </c:cat>
          <c:val>
            <c:numRef>
              <c:f>Verktøy!$B$30:$E$30</c:f>
              <c:numCache>
                <c:formatCode>#,##0</c:formatCode>
                <c:ptCount val="4"/>
                <c:pt idx="0">
                  <c:v>0</c:v>
                </c:pt>
                <c:pt idx="1">
                  <c:v>0</c:v>
                </c:pt>
                <c:pt idx="2">
                  <c:v>0</c:v>
                </c:pt>
                <c:pt idx="3">
                  <c:v>0</c:v>
                </c:pt>
              </c:numCache>
            </c:numRef>
          </c:val>
          <c:extLst>
            <c:ext xmlns:c16="http://schemas.microsoft.com/office/drawing/2014/chart" uri="{C3380CC4-5D6E-409C-BE32-E72D297353CC}">
              <c16:uniqueId val="{00000000-035E-485A-A522-5C093F620210}"/>
            </c:ext>
          </c:extLst>
        </c:ser>
        <c:dLbls>
          <c:showLegendKey val="0"/>
          <c:showVal val="0"/>
          <c:showCatName val="0"/>
          <c:showSerName val="0"/>
          <c:showPercent val="0"/>
          <c:showBubbleSize val="0"/>
        </c:dLbls>
        <c:gapWidth val="219"/>
        <c:overlap val="-27"/>
        <c:axId val="141288111"/>
        <c:axId val="542610175"/>
      </c:barChart>
      <c:catAx>
        <c:axId val="141288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42610175"/>
        <c:crosses val="autoZero"/>
        <c:auto val="1"/>
        <c:lblAlgn val="ctr"/>
        <c:lblOffset val="100"/>
        <c:noMultiLvlLbl val="0"/>
      </c:catAx>
      <c:valAx>
        <c:axId val="5426101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tonn CO2 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1288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baseline="0">
                <a:effectLst/>
              </a:rPr>
              <a:t>Potensielle utslipp for spydspiss ift. referansenivå</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Verktøy!$A$53</c:f>
              <c:strCache>
                <c:ptCount val="1"/>
                <c:pt idx="0">
                  <c:v>22 Bæresystemer</c:v>
                </c:pt>
              </c:strCache>
            </c:strRef>
          </c:tx>
          <c:spPr>
            <a:solidFill>
              <a:schemeClr val="accent1"/>
            </a:solidFill>
            <a:ln>
              <a:noFill/>
            </a:ln>
            <a:effectLst/>
          </c:spPr>
          <c:invertIfNegative val="0"/>
          <c:cat>
            <c:strRef>
              <c:f>Verktøy!$B$52:$C$52</c:f>
              <c:strCache>
                <c:ptCount val="2"/>
                <c:pt idx="0">
                  <c:v>Referanse</c:v>
                </c:pt>
                <c:pt idx="1">
                  <c:v>Spydspiss</c:v>
                </c:pt>
              </c:strCache>
            </c:strRef>
          </c:cat>
          <c:val>
            <c:numRef>
              <c:f>Verktøy!$B$53:$C$53</c:f>
              <c:numCache>
                <c:formatCode>#,##0</c:formatCode>
                <c:ptCount val="2"/>
                <c:pt idx="0">
                  <c:v>0</c:v>
                </c:pt>
                <c:pt idx="1">
                  <c:v>0</c:v>
                </c:pt>
              </c:numCache>
            </c:numRef>
          </c:val>
          <c:extLst>
            <c:ext xmlns:c16="http://schemas.microsoft.com/office/drawing/2014/chart" uri="{C3380CC4-5D6E-409C-BE32-E72D297353CC}">
              <c16:uniqueId val="{00000000-7DB8-4DF6-A486-259A691C7E7A}"/>
            </c:ext>
          </c:extLst>
        </c:ser>
        <c:ser>
          <c:idx val="1"/>
          <c:order val="1"/>
          <c:tx>
            <c:strRef>
              <c:f>Verktøy!$A$54</c:f>
              <c:strCache>
                <c:ptCount val="1"/>
                <c:pt idx="0">
                  <c:v>23 Yttervegger</c:v>
                </c:pt>
              </c:strCache>
            </c:strRef>
          </c:tx>
          <c:spPr>
            <a:solidFill>
              <a:schemeClr val="accent2"/>
            </a:solidFill>
            <a:ln>
              <a:noFill/>
            </a:ln>
            <a:effectLst/>
          </c:spPr>
          <c:invertIfNegative val="0"/>
          <c:cat>
            <c:strRef>
              <c:f>Verktøy!$B$52:$C$52</c:f>
              <c:strCache>
                <c:ptCount val="2"/>
                <c:pt idx="0">
                  <c:v>Referanse</c:v>
                </c:pt>
                <c:pt idx="1">
                  <c:v>Spydspiss</c:v>
                </c:pt>
              </c:strCache>
            </c:strRef>
          </c:cat>
          <c:val>
            <c:numRef>
              <c:f>Verktøy!$B$54:$C$54</c:f>
              <c:numCache>
                <c:formatCode>#,##0</c:formatCode>
                <c:ptCount val="2"/>
                <c:pt idx="0">
                  <c:v>0</c:v>
                </c:pt>
                <c:pt idx="1">
                  <c:v>0</c:v>
                </c:pt>
              </c:numCache>
            </c:numRef>
          </c:val>
          <c:extLst>
            <c:ext xmlns:c16="http://schemas.microsoft.com/office/drawing/2014/chart" uri="{C3380CC4-5D6E-409C-BE32-E72D297353CC}">
              <c16:uniqueId val="{00000001-7DB8-4DF6-A486-259A691C7E7A}"/>
            </c:ext>
          </c:extLst>
        </c:ser>
        <c:ser>
          <c:idx val="2"/>
          <c:order val="2"/>
          <c:tx>
            <c:strRef>
              <c:f>Verktøy!$A$55</c:f>
              <c:strCache>
                <c:ptCount val="1"/>
                <c:pt idx="0">
                  <c:v>24 Innervegger</c:v>
                </c:pt>
              </c:strCache>
            </c:strRef>
          </c:tx>
          <c:spPr>
            <a:solidFill>
              <a:schemeClr val="accent3"/>
            </a:solidFill>
            <a:ln>
              <a:noFill/>
            </a:ln>
            <a:effectLst/>
          </c:spPr>
          <c:invertIfNegative val="0"/>
          <c:cat>
            <c:strRef>
              <c:f>Verktøy!$B$52:$C$52</c:f>
              <c:strCache>
                <c:ptCount val="2"/>
                <c:pt idx="0">
                  <c:v>Referanse</c:v>
                </c:pt>
                <c:pt idx="1">
                  <c:v>Spydspiss</c:v>
                </c:pt>
              </c:strCache>
            </c:strRef>
          </c:cat>
          <c:val>
            <c:numRef>
              <c:f>Verktøy!$B$55:$C$55</c:f>
              <c:numCache>
                <c:formatCode>#,##0</c:formatCode>
                <c:ptCount val="2"/>
                <c:pt idx="0">
                  <c:v>0</c:v>
                </c:pt>
                <c:pt idx="1">
                  <c:v>0</c:v>
                </c:pt>
              </c:numCache>
            </c:numRef>
          </c:val>
          <c:extLst>
            <c:ext xmlns:c16="http://schemas.microsoft.com/office/drawing/2014/chart" uri="{C3380CC4-5D6E-409C-BE32-E72D297353CC}">
              <c16:uniqueId val="{00000002-7DB8-4DF6-A486-259A691C7E7A}"/>
            </c:ext>
          </c:extLst>
        </c:ser>
        <c:ser>
          <c:idx val="3"/>
          <c:order val="3"/>
          <c:tx>
            <c:strRef>
              <c:f>Verktøy!$A$56</c:f>
              <c:strCache>
                <c:ptCount val="1"/>
                <c:pt idx="0">
                  <c:v>25 Dekker</c:v>
                </c:pt>
              </c:strCache>
            </c:strRef>
          </c:tx>
          <c:spPr>
            <a:solidFill>
              <a:schemeClr val="accent4"/>
            </a:solidFill>
            <a:ln>
              <a:noFill/>
            </a:ln>
            <a:effectLst/>
          </c:spPr>
          <c:invertIfNegative val="0"/>
          <c:cat>
            <c:strRef>
              <c:f>Verktøy!$B$52:$C$52</c:f>
              <c:strCache>
                <c:ptCount val="2"/>
                <c:pt idx="0">
                  <c:v>Referanse</c:v>
                </c:pt>
                <c:pt idx="1">
                  <c:v>Spydspiss</c:v>
                </c:pt>
              </c:strCache>
            </c:strRef>
          </c:cat>
          <c:val>
            <c:numRef>
              <c:f>Verktøy!$B$56:$C$56</c:f>
              <c:numCache>
                <c:formatCode>#,##0</c:formatCode>
                <c:ptCount val="2"/>
                <c:pt idx="0">
                  <c:v>0</c:v>
                </c:pt>
                <c:pt idx="1">
                  <c:v>0</c:v>
                </c:pt>
              </c:numCache>
            </c:numRef>
          </c:val>
          <c:extLst>
            <c:ext xmlns:c16="http://schemas.microsoft.com/office/drawing/2014/chart" uri="{C3380CC4-5D6E-409C-BE32-E72D297353CC}">
              <c16:uniqueId val="{00000003-7DB8-4DF6-A486-259A691C7E7A}"/>
            </c:ext>
          </c:extLst>
        </c:ser>
        <c:ser>
          <c:idx val="4"/>
          <c:order val="4"/>
          <c:tx>
            <c:strRef>
              <c:f>Verktøy!$A$57</c:f>
              <c:strCache>
                <c:ptCount val="1"/>
                <c:pt idx="0">
                  <c:v>26 Yttertak</c:v>
                </c:pt>
              </c:strCache>
            </c:strRef>
          </c:tx>
          <c:spPr>
            <a:solidFill>
              <a:schemeClr val="accent5"/>
            </a:solidFill>
            <a:ln>
              <a:noFill/>
            </a:ln>
            <a:effectLst/>
          </c:spPr>
          <c:invertIfNegative val="0"/>
          <c:cat>
            <c:strRef>
              <c:f>Verktøy!$B$52:$C$52</c:f>
              <c:strCache>
                <c:ptCount val="2"/>
                <c:pt idx="0">
                  <c:v>Referanse</c:v>
                </c:pt>
                <c:pt idx="1">
                  <c:v>Spydspiss</c:v>
                </c:pt>
              </c:strCache>
            </c:strRef>
          </c:cat>
          <c:val>
            <c:numRef>
              <c:f>Verktøy!$B$57:$C$57</c:f>
              <c:numCache>
                <c:formatCode>#,##0</c:formatCode>
                <c:ptCount val="2"/>
                <c:pt idx="0">
                  <c:v>0</c:v>
                </c:pt>
                <c:pt idx="1">
                  <c:v>0</c:v>
                </c:pt>
              </c:numCache>
            </c:numRef>
          </c:val>
          <c:extLst>
            <c:ext xmlns:c16="http://schemas.microsoft.com/office/drawing/2014/chart" uri="{C3380CC4-5D6E-409C-BE32-E72D297353CC}">
              <c16:uniqueId val="{00000004-7DB8-4DF6-A486-259A691C7E7A}"/>
            </c:ext>
          </c:extLst>
        </c:ser>
        <c:ser>
          <c:idx val="5"/>
          <c:order val="5"/>
          <c:tx>
            <c:strRef>
              <c:f>Verktøy!$A$58</c:f>
              <c:strCache>
                <c:ptCount val="1"/>
                <c:pt idx="0">
                  <c:v>28 Trapper og balkonger</c:v>
                </c:pt>
              </c:strCache>
            </c:strRef>
          </c:tx>
          <c:spPr>
            <a:solidFill>
              <a:schemeClr val="accent6"/>
            </a:solidFill>
            <a:ln>
              <a:noFill/>
            </a:ln>
            <a:effectLst/>
          </c:spPr>
          <c:invertIfNegative val="0"/>
          <c:cat>
            <c:strRef>
              <c:f>Verktøy!$B$52:$C$52</c:f>
              <c:strCache>
                <c:ptCount val="2"/>
                <c:pt idx="0">
                  <c:v>Referanse</c:v>
                </c:pt>
                <c:pt idx="1">
                  <c:v>Spydspiss</c:v>
                </c:pt>
              </c:strCache>
            </c:strRef>
          </c:cat>
          <c:val>
            <c:numRef>
              <c:f>Verktøy!$B$58:$C$58</c:f>
              <c:numCache>
                <c:formatCode>#,##0</c:formatCode>
                <c:ptCount val="2"/>
                <c:pt idx="0">
                  <c:v>0</c:v>
                </c:pt>
                <c:pt idx="1">
                  <c:v>0</c:v>
                </c:pt>
              </c:numCache>
            </c:numRef>
          </c:val>
          <c:extLst>
            <c:ext xmlns:c16="http://schemas.microsoft.com/office/drawing/2014/chart" uri="{C3380CC4-5D6E-409C-BE32-E72D297353CC}">
              <c16:uniqueId val="{00000005-7DB8-4DF6-A486-259A691C7E7A}"/>
            </c:ext>
          </c:extLst>
        </c:ser>
        <c:dLbls>
          <c:showLegendKey val="0"/>
          <c:showVal val="0"/>
          <c:showCatName val="0"/>
          <c:showSerName val="0"/>
          <c:showPercent val="0"/>
          <c:showBubbleSize val="0"/>
        </c:dLbls>
        <c:gapWidth val="150"/>
        <c:overlap val="100"/>
        <c:axId val="1802848864"/>
        <c:axId val="648295279"/>
      </c:barChart>
      <c:catAx>
        <c:axId val="180284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48295279"/>
        <c:crosses val="autoZero"/>
        <c:auto val="1"/>
        <c:lblAlgn val="ctr"/>
        <c:lblOffset val="100"/>
        <c:noMultiLvlLbl val="0"/>
      </c:catAx>
      <c:valAx>
        <c:axId val="648295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 CO2-ekv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02848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11</xdr:col>
      <xdr:colOff>323850</xdr:colOff>
      <xdr:row>42</xdr:row>
      <xdr:rowOff>123825</xdr:rowOff>
    </xdr:to>
    <xdr:sp macro="" textlink="">
      <xdr:nvSpPr>
        <xdr:cNvPr id="2" name="TekstSylinder 1">
          <a:extLst>
            <a:ext uri="{FF2B5EF4-FFF2-40B4-BE49-F238E27FC236}">
              <a16:creationId xmlns:a16="http://schemas.microsoft.com/office/drawing/2014/main" id="{39ABA2E0-67EB-409B-9974-538A1CBDA4D8}"/>
            </a:ext>
          </a:extLst>
        </xdr:cNvPr>
        <xdr:cNvSpPr txBox="1"/>
      </xdr:nvSpPr>
      <xdr:spPr>
        <a:xfrm>
          <a:off x="171450" y="238125"/>
          <a:ext cx="8534400" cy="788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t>Om verktøyet</a:t>
          </a:r>
        </a:p>
        <a:p>
          <a:r>
            <a:rPr lang="nb-NO" sz="1100"/>
            <a:t>Dette verktøyet brukes til å beregne </a:t>
          </a:r>
          <a:r>
            <a:rPr lang="nb-NO" sz="1100" b="1"/>
            <a:t>referansenivåer</a:t>
          </a:r>
          <a:r>
            <a:rPr lang="nb-NO" sz="1100"/>
            <a:t> for et byggeprosjekt. Referansenivåene er basert på nasjonale referansenivåer beregnet i en studie gjennomført for Enova i 2020. Referansenivåene fungerer som benchmark-verdier som prosjektene</a:t>
          </a:r>
          <a:r>
            <a:rPr lang="nb-NO" sz="1100" baseline="0"/>
            <a:t> kan måle seg mot. Referansenivåene er fastsatt per bygningskategori og BTA, og endres kun med disse parameterne. Dette skiller referansenivåene fra referansebygg som i større grad avhenger av byggets geometri. Verktøyet er altså ikke en referansebygg-generator, men et referansenivå-generator med tilhørende anbefalte utslippsrammer for ulike ambisjonsnivåer. </a:t>
          </a:r>
        </a:p>
        <a:p>
          <a:endParaRPr lang="nb-NO" sz="1100"/>
        </a:p>
        <a:p>
          <a:r>
            <a:rPr lang="nb-NO" sz="1100"/>
            <a:t>Basert på referansenivåene settes anbefalte utslippsrammer for nivåene basiss, avansert og spydspiss, som kan brukes når det stilles krav til klimagassberegninger for hele bygget. I tillegg er det mulig å fylle inn egendefinert reduksjonsnivå.</a:t>
          </a:r>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Metodikken og teorien bak referansenivåene og utslippsrammene er beskrevet i veilederen.</a:t>
          </a:r>
          <a:endParaRPr lang="nb-NO">
            <a:effectLst/>
          </a:endParaRPr>
        </a:p>
        <a:p>
          <a:endParaRPr lang="nb-NO" sz="1100"/>
        </a:p>
        <a:p>
          <a:r>
            <a:rPr lang="nb-NO" sz="1100" b="1"/>
            <a:t>Under beskrives</a:t>
          </a:r>
          <a:r>
            <a:rPr lang="nb-NO" sz="1100" b="1" baseline="0"/>
            <a:t> hva som finnes i de ulike fanene:</a:t>
          </a:r>
        </a:p>
        <a:p>
          <a:endParaRPr lang="nb-NO" sz="1100" baseline="0"/>
        </a:p>
        <a:p>
          <a:r>
            <a:rPr lang="nb-NO" sz="1200" b="1" baseline="0"/>
            <a:t>Verktøy</a:t>
          </a:r>
        </a:p>
        <a:p>
          <a:r>
            <a:rPr lang="nb-NO" sz="1100" b="0" baseline="0"/>
            <a:t>I denne fanen beregnes referansenivå og anbefalte utslippsrammer for prosjektet, basert på innfylling av inndata. Dette er den eneste fanen som trengs for å få ut resulterende utslippsrammer. Resterende faner dokumenterer bakgrunnen for beregningene.</a:t>
          </a:r>
        </a:p>
        <a:p>
          <a:endParaRPr lang="nb-NO" sz="1100" b="0" baseline="0"/>
        </a:p>
        <a:p>
          <a:r>
            <a:rPr lang="nb-NO" sz="1200" b="1" baseline="0"/>
            <a:t>Utslippstall modellbygg</a:t>
          </a:r>
        </a:p>
        <a:p>
          <a:r>
            <a:rPr lang="nb-NO" sz="1100" b="0" baseline="0"/>
            <a:t>Her ligger tabellene for referansenivåer per m2 BTA for ulike bygningskategorier. Disse benyttes i verktøyet til å sette sammen utslippsramme for prosjektet, basert på bygningskategori, bruttoareal og kjellerareal. Referansenivåene er beregnet på bakgrunn av modellbygg for de ulike bygningskategoriene, som skal representere nøkterne, skoeskeformede bygg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Enova-utredningen. </a:t>
          </a:r>
        </a:p>
        <a:p>
          <a:r>
            <a:rPr lang="nb-NO" sz="1100" b="0" baseline="0"/>
            <a:t>Bakgrunnen for modellbyggene er beskrevet ytterligere i veilederen.</a:t>
          </a:r>
        </a:p>
        <a:p>
          <a:endParaRPr lang="nb-NO" sz="1100" b="0" baseline="0"/>
        </a:p>
        <a:p>
          <a:pPr marL="0" indent="0"/>
          <a:r>
            <a:rPr lang="nb-NO" sz="1200" b="1" baseline="0">
              <a:solidFill>
                <a:schemeClr val="dk1"/>
              </a:solidFill>
              <a:latin typeface="+mn-lt"/>
              <a:ea typeface="+mn-ea"/>
              <a:cs typeface="+mn-cs"/>
            </a:rPr>
            <a:t>Modellbygg og utslippsfaktorer</a:t>
          </a:r>
        </a:p>
        <a:p>
          <a:r>
            <a:rPr lang="nb-NO" sz="1100" b="0" baseline="0"/>
            <a:t>I denne fanen vises hvilke utslippsfaktorer som er benyttet for de ulike materialene som inngår i modellbyggene som referansenivåene er bygget på. I tillegg vises en tabell over størrelsen på de opprinnelige modellbyggene som er benyttet for å generere referansenivåene. </a:t>
          </a:r>
        </a:p>
        <a:p>
          <a:endParaRPr lang="nb-NO" sz="1100" b="0" baseline="0"/>
        </a:p>
        <a:p>
          <a:pPr marL="0" indent="0"/>
          <a:r>
            <a:rPr lang="nb-NO" sz="1200" b="1" baseline="0">
              <a:solidFill>
                <a:schemeClr val="dk1"/>
              </a:solidFill>
              <a:latin typeface="+mn-lt"/>
              <a:ea typeface="+mn-ea"/>
              <a:cs typeface="+mn-cs"/>
            </a:rPr>
            <a:t>Løsningsvalg modellbygg</a:t>
          </a:r>
        </a:p>
        <a:p>
          <a:r>
            <a:rPr lang="nb-NO" sz="1100" b="0" baseline="0"/>
            <a:t>Denne fanen viser tabeller for løsnings- og materialvalg for modellbyggene. </a:t>
          </a:r>
        </a:p>
        <a:p>
          <a:endParaRPr lang="nb-NO" sz="1100" b="0" baseline="0"/>
        </a:p>
        <a:p>
          <a:r>
            <a:rPr lang="nb-NO" sz="1100" b="0" baseline="0"/>
            <a:t>Dersom du er usikker på hvilken bygningskategori som best representerer ditt prosjekt, kan det være lurt å ta en titt på denne fanen.</a:t>
          </a:r>
        </a:p>
        <a:p>
          <a:endParaRPr lang="nb-NO" sz="1100" b="0" baseline="0"/>
        </a:p>
        <a:p>
          <a:r>
            <a:rPr lang="nb-NO" sz="1200" b="1" baseline="0"/>
            <a:t>Definisjon av BTA, BRA og BYA</a:t>
          </a:r>
        </a:p>
        <a:p>
          <a:r>
            <a:rPr lang="nb-NO" sz="1100" b="0" baseline="0"/>
            <a:t>Forklarer hvordan arealene regnes ut, og hvordan de brukes i beregningene.</a:t>
          </a:r>
        </a:p>
        <a:p>
          <a:endParaRPr lang="nb-NO" sz="1100" b="0" baseline="0"/>
        </a:p>
        <a:p>
          <a:endParaRPr lang="nb-NO" sz="1100" b="0" baseline="0"/>
        </a:p>
        <a:p>
          <a:r>
            <a:rPr lang="nb-NO" sz="1100" b="0" baseline="30000"/>
            <a:t>1) </a:t>
          </a:r>
          <a:r>
            <a:rPr lang="nb-NO" sz="1100">
              <a:solidFill>
                <a:schemeClr val="dk1"/>
              </a:solidFill>
              <a:effectLst/>
              <a:latin typeface="+mn-lt"/>
              <a:ea typeface="+mn-ea"/>
              <a:cs typeface="+mn-cs"/>
            </a:rPr>
            <a:t>Klimavennlige byggematerialer, potensial for utslippskutt og barrierer mot bruk, Enova SF, 2020:</a:t>
          </a:r>
          <a:r>
            <a:rPr lang="nb-NO" sz="1100" b="0" baseline="30000"/>
            <a:t> </a:t>
          </a:r>
          <a:r>
            <a:rPr lang="nb-NO" sz="1100" u="sng">
              <a:solidFill>
                <a:schemeClr val="dk1"/>
              </a:solidFill>
              <a:effectLst/>
              <a:latin typeface="+mn-lt"/>
              <a:ea typeface="+mn-ea"/>
              <a:cs typeface="+mn-cs"/>
              <a:hlinkClick xmlns:r="http://schemas.openxmlformats.org/officeDocument/2006/relationships" r:id=""/>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b="0" baseline="0"/>
        </a:p>
      </xdr:txBody>
    </xdr:sp>
    <xdr:clientData/>
  </xdr:twoCellAnchor>
  <xdr:twoCellAnchor editAs="oneCell">
    <xdr:from>
      <xdr:col>12</xdr:col>
      <xdr:colOff>304800</xdr:colOff>
      <xdr:row>2</xdr:row>
      <xdr:rowOff>19050</xdr:rowOff>
    </xdr:from>
    <xdr:to>
      <xdr:col>15</xdr:col>
      <xdr:colOff>695325</xdr:colOff>
      <xdr:row>5</xdr:row>
      <xdr:rowOff>184271</xdr:rowOff>
    </xdr:to>
    <xdr:pic>
      <xdr:nvPicPr>
        <xdr:cNvPr id="3" name="Bilde 2">
          <a:extLst>
            <a:ext uri="{FF2B5EF4-FFF2-40B4-BE49-F238E27FC236}">
              <a16:creationId xmlns:a16="http://schemas.microsoft.com/office/drawing/2014/main" id="{ADFC593D-431F-426A-8382-7CB661C8B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400050"/>
          <a:ext cx="2676525" cy="73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191618</xdr:colOff>
      <xdr:row>25</xdr:row>
      <xdr:rowOff>176490</xdr:rowOff>
    </xdr:from>
    <xdr:to>
      <xdr:col>8</xdr:col>
      <xdr:colOff>1057275</xdr:colOff>
      <xdr:row>34</xdr:row>
      <xdr:rowOff>28575</xdr:rowOff>
    </xdr:to>
    <xdr:graphicFrame macro="">
      <xdr:nvGraphicFramePr>
        <xdr:cNvPr id="26" name="Diagram 3">
          <a:extLst>
            <a:ext uri="{FF2B5EF4-FFF2-40B4-BE49-F238E27FC236}">
              <a16:creationId xmlns:a16="http://schemas.microsoft.com/office/drawing/2014/main" i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48746</xdr:colOff>
      <xdr:row>49</xdr:row>
      <xdr:rowOff>177614</xdr:rowOff>
    </xdr:from>
    <xdr:to>
      <xdr:col>8</xdr:col>
      <xdr:colOff>1562100</xdr:colOff>
      <xdr:row>62</xdr:row>
      <xdr:rowOff>76200</xdr:rowOff>
    </xdr:to>
    <xdr:graphicFrame macro="">
      <xdr:nvGraphicFramePr>
        <xdr:cNvPr id="27" name="Diagram 4">
          <a:extLst>
            <a:ext uri="{FF2B5EF4-FFF2-40B4-BE49-F238E27FC236}">
              <a16:creationId xmlns:a16="http://schemas.microsoft.com/office/drawing/2014/main" id="{B7D7D2B5-50AF-437F-9308-7A6621090AB6}"/>
            </a:ext>
            <a:ext uri="{147F2762-F138-4A5C-976F-8EAC2B608ADB}">
              <a16:predDERef xmlns:a16="http://schemas.microsoft.com/office/drawing/2014/main" pre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13</xdr:row>
      <xdr:rowOff>142875</xdr:rowOff>
    </xdr:from>
    <xdr:to>
      <xdr:col>7</xdr:col>
      <xdr:colOff>9524</xdr:colOff>
      <xdr:row>18</xdr:row>
      <xdr:rowOff>19050</xdr:rowOff>
    </xdr:to>
    <xdr:sp macro="" textlink="">
      <xdr:nvSpPr>
        <xdr:cNvPr id="2" name="TekstSylinder 1">
          <a:extLst>
            <a:ext uri="{FF2B5EF4-FFF2-40B4-BE49-F238E27FC236}">
              <a16:creationId xmlns:a16="http://schemas.microsoft.com/office/drawing/2014/main" id="{5C10AFE3-8943-48E8-94EE-9E85E42C2F36}"/>
            </a:ext>
          </a:extLst>
        </xdr:cNvPr>
        <xdr:cNvSpPr txBox="1"/>
      </xdr:nvSpPr>
      <xdr:spPr>
        <a:xfrm>
          <a:off x="142874" y="3238500"/>
          <a:ext cx="9058275" cy="84772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Forklaring: </a:t>
          </a:r>
          <a:r>
            <a:rPr lang="nb-NO" sz="1100" b="0"/>
            <a:t>Informasjon om prosjektet fylles</a:t>
          </a:r>
          <a:r>
            <a:rPr lang="nb-NO" sz="1100" b="0" baseline="0"/>
            <a:t> inn i inndata-tabellen over. </a:t>
          </a:r>
          <a:r>
            <a:rPr lang="nb-NO" sz="1100"/>
            <a:t>Bygningskategori velges fra nedtrekksmeny,</a:t>
          </a:r>
          <a:r>
            <a:rPr lang="nb-NO" sz="1100" baseline="0"/>
            <a:t> </a:t>
          </a:r>
          <a:r>
            <a:rPr lang="nb-NO" sz="1100"/>
            <a:t>og parametere fylles ut i de hvite cellene. De grå feltene er valgfrie</a:t>
          </a:r>
          <a:r>
            <a:rPr lang="nb-NO" sz="1100" baseline="0"/>
            <a:t> å fylle ut. Kommentarfeltet kan være nyttig for å dokumentere hvilke forutsetninger som gjelder for de ulike parameterne.</a:t>
          </a:r>
          <a:br>
            <a:rPr lang="nb-NO" sz="1100"/>
          </a:br>
          <a:endParaRPr lang="nb-NO" sz="1100"/>
        </a:p>
        <a:p>
          <a:r>
            <a:rPr lang="nb-NO" sz="1100"/>
            <a:t>Under vises beregnet</a:t>
          </a:r>
          <a:r>
            <a:rPr lang="nb-NO" sz="1100" baseline="0"/>
            <a:t> referansenivå for klimagassutslipp for prosjektet, og deretter anbefalt utslippsramme for de ulike ambisjonsnivåene. </a:t>
          </a:r>
          <a:br>
            <a:rPr lang="nb-NO" sz="1100"/>
          </a:br>
          <a:endParaRPr lang="nb-NO" sz="1100"/>
        </a:p>
      </xdr:txBody>
    </xdr:sp>
    <xdr:clientData/>
  </xdr:twoCellAnchor>
  <xdr:twoCellAnchor>
    <xdr:from>
      <xdr:col>8</xdr:col>
      <xdr:colOff>47625</xdr:colOff>
      <xdr:row>37</xdr:row>
      <xdr:rowOff>0</xdr:rowOff>
    </xdr:from>
    <xdr:to>
      <xdr:col>14</xdr:col>
      <xdr:colOff>333375</xdr:colOff>
      <xdr:row>43</xdr:row>
      <xdr:rowOff>9525</xdr:rowOff>
    </xdr:to>
    <xdr:sp macro="" textlink="">
      <xdr:nvSpPr>
        <xdr:cNvPr id="3" name="TekstSylinder 2">
          <a:extLst>
            <a:ext uri="{FF2B5EF4-FFF2-40B4-BE49-F238E27FC236}">
              <a16:creationId xmlns:a16="http://schemas.microsoft.com/office/drawing/2014/main" id="{44BDE4FE-C3B5-403A-894A-26846C05FAEC}"/>
            </a:ext>
          </a:extLst>
        </xdr:cNvPr>
        <xdr:cNvSpPr txBox="1"/>
      </xdr:nvSpPr>
      <xdr:spPr>
        <a:xfrm>
          <a:off x="9925050" y="8467725"/>
          <a:ext cx="5114925" cy="13239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&lt;--</a:t>
          </a:r>
          <a:r>
            <a:rPr lang="nb-NO" sz="1100" baseline="0"/>
            <a:t> </a:t>
          </a:r>
          <a:r>
            <a:rPr lang="nb-NO" sz="1100"/>
            <a:t>Her vises hvilket nivå utslippsrammene ligger på sammenliknet med referansenivået (grunn og fundamenter er ekskludert). Reduksjonsnivåene er satt sammen av reduksjonsnivå for bygg over bakken og kjeller, se mer i fanen "Utslippstall modellbygg".  Derefor er ikke nødvendigvis reduksjonstallene</a:t>
          </a:r>
          <a:r>
            <a:rPr lang="nb-NO" sz="1100" baseline="0"/>
            <a:t> runde tall. </a:t>
          </a:r>
          <a:r>
            <a:rPr lang="nb-NO" sz="1100"/>
            <a:t>Hvis ønskelig kan eget ambisjonsnivå fylles inn. For å fastsette eget ambisjonsnivå</a:t>
          </a:r>
          <a:r>
            <a:rPr lang="nb-NO" sz="1100" baseline="0"/>
            <a:t> kan det være nyttig å lese </a:t>
          </a:r>
          <a:r>
            <a:rPr lang="nb-NO" sz="1100"/>
            <a:t>mer om hva som ligger bak referanseutslippene i veilederen.</a:t>
          </a:r>
        </a:p>
      </xdr:txBody>
    </xdr:sp>
    <xdr:clientData/>
  </xdr:twoCellAnchor>
  <xdr:twoCellAnchor>
    <xdr:from>
      <xdr:col>7</xdr:col>
      <xdr:colOff>590549</xdr:colOff>
      <xdr:row>19</xdr:row>
      <xdr:rowOff>171450</xdr:rowOff>
    </xdr:from>
    <xdr:to>
      <xdr:col>20</xdr:col>
      <xdr:colOff>409574</xdr:colOff>
      <xdr:row>24</xdr:row>
      <xdr:rowOff>85724</xdr:rowOff>
    </xdr:to>
    <xdr:sp macro="" textlink="">
      <xdr:nvSpPr>
        <xdr:cNvPr id="6" name="TekstSylinder 5">
          <a:extLst>
            <a:ext uri="{FF2B5EF4-FFF2-40B4-BE49-F238E27FC236}">
              <a16:creationId xmlns:a16="http://schemas.microsoft.com/office/drawing/2014/main" id="{B584FDA7-70CD-4329-BF34-E659046460A0}"/>
            </a:ext>
          </a:extLst>
        </xdr:cNvPr>
        <xdr:cNvSpPr txBox="1"/>
      </xdr:nvSpPr>
      <xdr:spPr>
        <a:xfrm>
          <a:off x="9620249" y="4429125"/>
          <a:ext cx="9324975" cy="952499"/>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Hva er egentlig referanseutslippet? </a:t>
          </a:r>
          <a:r>
            <a:rPr lang="nb-NO" sz="1100"/>
            <a:t>Referanseutslippet reflekterer "benchmarkverdier" prosjektene kan måle seg mot. Referansen tilsvarer enkle bygg  med TEK17-standard og nøktern materialbruk, bygget med standard løsningsvalg og materialer for dagens marked.  </a:t>
          </a:r>
        </a:p>
        <a:p>
          <a:endParaRPr lang="nb-NO" sz="1100"/>
        </a:p>
        <a:p>
          <a:r>
            <a:rPr lang="nb-NO" sz="1100" b="1"/>
            <a:t>MERK: </a:t>
          </a:r>
          <a:r>
            <a:rPr lang="nb-NO" sz="1100"/>
            <a:t>Referanseutslippet er ikke et worstcase-scenario. Dersom det ikke gjøres noen tiltak for å begrense klimafotavtrykket, kan</a:t>
          </a:r>
          <a:r>
            <a:rPr lang="nb-NO" sz="1100" baseline="0"/>
            <a:t> mange bygg forventes å havne over referansenivået. Det kommer av at referansenivået gjenspeiler bygg med nøktern materialbruk.</a:t>
          </a:r>
          <a:br>
            <a:rPr lang="nb-NO" sz="1100"/>
          </a:br>
          <a:endParaRPr lang="nb-NO" sz="1100"/>
        </a:p>
      </xdr:txBody>
    </xdr:sp>
    <xdr:clientData/>
  </xdr:twoCellAnchor>
  <xdr:twoCellAnchor>
    <xdr:from>
      <xdr:col>8</xdr:col>
      <xdr:colOff>1285875</xdr:colOff>
      <xdr:row>25</xdr:row>
      <xdr:rowOff>180975</xdr:rowOff>
    </xdr:from>
    <xdr:to>
      <xdr:col>14</xdr:col>
      <xdr:colOff>133350</xdr:colOff>
      <xdr:row>33</xdr:row>
      <xdr:rowOff>238126</xdr:rowOff>
    </xdr:to>
    <xdr:sp macro="" textlink="">
      <xdr:nvSpPr>
        <xdr:cNvPr id="4" name="TekstSylinder 3">
          <a:extLst>
            <a:ext uri="{FF2B5EF4-FFF2-40B4-BE49-F238E27FC236}">
              <a16:creationId xmlns:a16="http://schemas.microsoft.com/office/drawing/2014/main" id="{AEF75B57-64A4-4862-B0D1-326372688479}"/>
            </a:ext>
          </a:extLst>
        </xdr:cNvPr>
        <xdr:cNvSpPr txBox="1"/>
      </xdr:nvSpPr>
      <xdr:spPr>
        <a:xfrm>
          <a:off x="11163300" y="5505450"/>
          <a:ext cx="3676650" cy="2371726"/>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Grunn og fundamenter er ekskludert fra utslippsrammene:</a:t>
          </a:r>
        </a:p>
        <a:p>
          <a:endParaRPr lang="nb-NO" sz="1100" b="1"/>
        </a:p>
        <a:p>
          <a:r>
            <a:rPr lang="nb-NO" sz="1100"/>
            <a:t>Utslippsrammene inkluderer ikke grunn og fundamenter. Årsaken til dette er at grunnforhold og dybde til i fjell i stor grad kan påvirke et byggs klimafotavtrykk. Det er også begrenset hvor mange valg man har når det kommer til løsninger og materialvalg for fundamenter. Dermed kan grunnforhold påvirke mulig reduksjon i klimagassutslipp sammenliknet mot referansen.  Variasjon og usikkerhet for beregnede nivåer for utslippsrammer kan dermed bli for stor dersom grunn og fundamenter inkluderes. Det anbefales derfor å stille krav til utslippsrammer som ekskluderer fundamenter. </a:t>
          </a:r>
        </a:p>
      </xdr:txBody>
    </xdr:sp>
    <xdr:clientData/>
  </xdr:twoCellAnchor>
  <xdr:twoCellAnchor>
    <xdr:from>
      <xdr:col>0</xdr:col>
      <xdr:colOff>66675</xdr:colOff>
      <xdr:row>45</xdr:row>
      <xdr:rowOff>66675</xdr:rowOff>
    </xdr:from>
    <xdr:to>
      <xdr:col>6</xdr:col>
      <xdr:colOff>828675</xdr:colOff>
      <xdr:row>48</xdr:row>
      <xdr:rowOff>171450</xdr:rowOff>
    </xdr:to>
    <xdr:sp macro="" textlink="">
      <xdr:nvSpPr>
        <xdr:cNvPr id="5" name="TekstSylinder 4">
          <a:extLst>
            <a:ext uri="{FF2B5EF4-FFF2-40B4-BE49-F238E27FC236}">
              <a16:creationId xmlns:a16="http://schemas.microsoft.com/office/drawing/2014/main" id="{0A86E910-29A2-4DBB-9C8B-4CD04C304BF9}"/>
            </a:ext>
          </a:extLst>
        </xdr:cNvPr>
        <xdr:cNvSpPr txBox="1"/>
      </xdr:nvSpPr>
      <xdr:spPr>
        <a:xfrm>
          <a:off x="66675" y="10563225"/>
          <a:ext cx="7239000" cy="6762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Spydspissnivået reflekterer hva som kan forventes i prosjekter som i særlig stor grad vektlegger løsningsvalg og materialer som gir lave klimagassutslipp. Det kan likevel være mulig i enkelte prosjekter å oppnå enda lavere klimagassutslipp. Hva som ligger bak beregnet spydspissnivå er nærmere forklart i veilederen.</a:t>
          </a:r>
        </a:p>
      </xdr:txBody>
    </xdr:sp>
    <xdr:clientData/>
  </xdr:twoCellAnchor>
  <xdr:twoCellAnchor>
    <xdr:from>
      <xdr:col>4</xdr:col>
      <xdr:colOff>47624</xdr:colOff>
      <xdr:row>63</xdr:row>
      <xdr:rowOff>0</xdr:rowOff>
    </xdr:from>
    <xdr:to>
      <xdr:col>8</xdr:col>
      <xdr:colOff>1571624</xdr:colOff>
      <xdr:row>68</xdr:row>
      <xdr:rowOff>33617</xdr:rowOff>
    </xdr:to>
    <xdr:sp macro="" textlink="">
      <xdr:nvSpPr>
        <xdr:cNvPr id="7" name="TekstSylinder 6">
          <a:extLst>
            <a:ext uri="{FF2B5EF4-FFF2-40B4-BE49-F238E27FC236}">
              <a16:creationId xmlns:a16="http://schemas.microsoft.com/office/drawing/2014/main" id="{1FCC00DA-30CC-434F-A603-D9E3D0C99B39}"/>
            </a:ext>
          </a:extLst>
        </xdr:cNvPr>
        <xdr:cNvSpPr txBox="1"/>
      </xdr:nvSpPr>
      <xdr:spPr>
        <a:xfrm>
          <a:off x="4160183" y="14220265"/>
          <a:ext cx="7451912" cy="98611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NB! </a:t>
          </a:r>
          <a:r>
            <a:rPr lang="nb-NO" sz="1100"/>
            <a:t>Det er viktig å være klar over at fordelingen av utslipp på bygningsdeler for spydspissnivået kun viser potensiell utslippsreduksjon for de ulike bygningsdelene. Dette må ikke anses som anbefalte utslippsrammer per bygningsdel. Fordeling av utslipp på bygningsdeler kan variere mye for ulike typer bygg og løsningsvalg. Å stille utslippskrav på bygningsdelsnivå er ikke å anbefale, fordi dette kan føre til suboptimalisering. Rammekravene er dermed kun satt totalt for alle bygningsdeler (eks. grunn og fundamenter). Figuren er kun ment som veiledende til mulig fordeling av utslipp for et spydspissnivå.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24</xdr:col>
      <xdr:colOff>533400</xdr:colOff>
      <xdr:row>12</xdr:row>
      <xdr:rowOff>57150</xdr:rowOff>
    </xdr:to>
    <xdr:sp macro="" textlink="">
      <xdr:nvSpPr>
        <xdr:cNvPr id="2" name="TekstSylinder 1">
          <a:extLst>
            <a:ext uri="{FF2B5EF4-FFF2-40B4-BE49-F238E27FC236}">
              <a16:creationId xmlns:a16="http://schemas.microsoft.com/office/drawing/2014/main" id="{A2C43856-3F04-4BA1-AA64-6A5C7EEC55FF}"/>
            </a:ext>
          </a:extLst>
        </xdr:cNvPr>
        <xdr:cNvSpPr txBox="1"/>
      </xdr:nvSpPr>
      <xdr:spPr>
        <a:xfrm>
          <a:off x="47625" y="352425"/>
          <a:ext cx="16097250" cy="203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baseline="0">
              <a:solidFill>
                <a:schemeClr val="dk1"/>
              </a:solidFill>
              <a:effectLst/>
              <a:latin typeface="+mn-lt"/>
              <a:ea typeface="+mn-ea"/>
              <a:cs typeface="+mn-cs"/>
            </a:rPr>
            <a:t>Dette arket viser bakgrunnstall for resulterende referansenivåer og utslippsrammer.</a:t>
          </a:r>
        </a:p>
        <a:p>
          <a:endParaRPr lang="nb-NO" sz="1100" b="1" baseline="0">
            <a:solidFill>
              <a:schemeClr val="dk1"/>
            </a:solidFill>
            <a:effectLst/>
            <a:latin typeface="+mn-lt"/>
            <a:ea typeface="+mn-ea"/>
            <a:cs typeface="+mn-cs"/>
          </a:endParaRPr>
        </a:p>
        <a:p>
          <a:r>
            <a:rPr lang="nb-NO" sz="1100" b="1" baseline="0">
              <a:solidFill>
                <a:schemeClr val="dk1"/>
              </a:solidFill>
              <a:effectLst/>
              <a:latin typeface="+mn-lt"/>
              <a:ea typeface="+mn-ea"/>
              <a:cs typeface="+mn-cs"/>
            </a:rPr>
            <a:t>Referanseverdier: </a:t>
          </a:r>
          <a:r>
            <a:rPr lang="nb-NO" sz="1100" b="0" baseline="0">
              <a:solidFill>
                <a:schemeClr val="dk1"/>
              </a:solidFill>
              <a:effectLst/>
              <a:latin typeface="+mn-lt"/>
              <a:ea typeface="+mn-ea"/>
              <a:cs typeface="+mn-cs"/>
            </a:rPr>
            <a:t>Disse tabellene viser referanse-utslippene per m2 BTA fordelt på bygningsdeler, for de ulike bygningskategoriene. Disse benyttes i verktøyet til å sette sammen utslippsramme for prosjektet, basert på bygningskategori, bruttoareal og kjellerareal. Referansenivåene er beregnet på bakgrunn av modellbygg for de ulike bygningskategoriene, som skal representere nøkterne, skoeskeformede bygg (SIntef-kassa) med standard løsnings- og materialvalg i dagens marked. Disse løsnings- og materialvalgene er basert på Bygganalyses modellbygg som ligger til grunn for både Isy Calcus og referansebyggmodulen i One Click LCA, og er i tillegg gjennomgått kvalitetssikring av fagpersoner gjennom Enova-prosjektet og flere andre prosjekter for bl.a. DiBK og Klimaetaten. </a:t>
          </a:r>
          <a:endParaRPr lang="nb-NO">
            <a:effectLst/>
          </a:endParaRPr>
        </a:p>
        <a:p>
          <a:r>
            <a:rPr lang="nb-NO" sz="1100" b="0" baseline="0">
              <a:solidFill>
                <a:schemeClr val="dk1"/>
              </a:solidFill>
              <a:effectLst/>
              <a:latin typeface="+mn-lt"/>
              <a:ea typeface="+mn-ea"/>
              <a:cs typeface="+mn-cs"/>
            </a:rPr>
            <a:t>Bakgrunnen for modellbyggene er beskrevet ytterligere i veilederen.</a:t>
          </a:r>
          <a:endParaRPr lang="nb-NO">
            <a:effectLst/>
          </a:endParaRPr>
        </a:p>
        <a:p>
          <a:endParaRPr lang="nb-NO" sz="1100"/>
        </a:p>
        <a:p>
          <a:r>
            <a:rPr lang="nb-NO" sz="1100" b="1"/>
            <a:t>Potensiell utslippsreduksjon:</a:t>
          </a:r>
          <a:r>
            <a:rPr lang="nb-NO" sz="1100" b="1" baseline="0"/>
            <a:t> </a:t>
          </a:r>
          <a:r>
            <a:rPr lang="nb-NO" sz="1100" baseline="0"/>
            <a:t>Dette viser hvilke utslippsreduksjoner ift. referansenivåene som er lagt til grunn for ambisjonsnivåene.</a:t>
          </a:r>
        </a:p>
        <a:p>
          <a:endParaRPr lang="nb-NO" sz="1100" baseline="0"/>
        </a:p>
        <a:p>
          <a:r>
            <a:rPr lang="nb-NO" sz="1100" b="1" baseline="0"/>
            <a:t>Lavutslippsbygg: </a:t>
          </a:r>
          <a:r>
            <a:rPr lang="nb-NO" sz="1100" baseline="0"/>
            <a:t>Dette gjenspeiler spydspiss-utslippene for de ulike bygningskategoriene, med erfaringsmessig fordeling av uslipp per bygningsdel. Brukes til figuren "Potensielle utslipp for spydspiss ift. referansenivå"  i fanen "Verktøy".</a:t>
          </a:r>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0</xdr:row>
      <xdr:rowOff>85726</xdr:rowOff>
    </xdr:from>
    <xdr:to>
      <xdr:col>7</xdr:col>
      <xdr:colOff>981075</xdr:colOff>
      <xdr:row>8</xdr:row>
      <xdr:rowOff>180976</xdr:rowOff>
    </xdr:to>
    <xdr:sp macro="" textlink="">
      <xdr:nvSpPr>
        <xdr:cNvPr id="2" name="TekstSylinder 1">
          <a:extLst>
            <a:ext uri="{FF2B5EF4-FFF2-40B4-BE49-F238E27FC236}">
              <a16:creationId xmlns:a16="http://schemas.microsoft.com/office/drawing/2014/main" id="{4703817C-F036-4FA7-9155-FCE95BC67042}"/>
            </a:ext>
          </a:extLst>
        </xdr:cNvPr>
        <xdr:cNvSpPr txBox="1"/>
      </xdr:nvSpPr>
      <xdr:spPr>
        <a:xfrm>
          <a:off x="695325" y="85726"/>
          <a:ext cx="6838950"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Om utslippsfaktorer brukt i modellbyggene</a:t>
          </a:r>
        </a:p>
        <a:p>
          <a:r>
            <a:rPr lang="nb-NO" sz="1100"/>
            <a:t>Referansenivåene som beregnes for de ulike bygningskategoriene er basert på beregnede referansenivåer fra en studie utført for Enova</a:t>
          </a:r>
          <a:r>
            <a:rPr lang="nb-NO" sz="1100" baseline="30000"/>
            <a:t>1</a:t>
          </a:r>
          <a:r>
            <a:rPr lang="nb-NO" sz="1100"/>
            <a:t> i 2020. Referansenivåene er beregnet på bakgrunn av modellbygg. Her vises utslippsfaktorene som er brukt til beregningene for modellbyggene. Kolonnen "Referanse" angir utslippsfaktorene som ligger til grunn for referansenivåene. Her er det er hovedsakelig benyttet samme utslippsfaktorer som i Carbon Designer i OneClick LCA, der disse er representative.</a:t>
          </a:r>
        </a:p>
        <a:p>
          <a:endParaRPr lang="nb-NO" sz="1100"/>
        </a:p>
        <a:p>
          <a:r>
            <a:rPr lang="nb-NO" sz="1100"/>
            <a:t>I kolonnen "lavutslipp" vises utslippsfaktorene som er brukt for å definere "lavutslippsbyggene" i Enova-studien. Dette representerer de mest klimavennlige materialene på markedet (per 2020). Disse lavutslippsbyggene er brukt som utgangspunkt for å definere utslippsrammene for nivå Spydspiss i kriterieveiviseren (se nærmere forklaring i veilederen).  Fullstendig dokumentasjon for utslippsfaktorer og modellbygg finnes i Enova-rapporten.</a:t>
          </a:r>
        </a:p>
        <a:p>
          <a:endParaRPr lang="nb-NO" sz="1100"/>
        </a:p>
        <a:p>
          <a:r>
            <a:rPr lang="nb-NO" sz="1100" baseline="30000"/>
            <a:t>1) </a:t>
          </a:r>
          <a:r>
            <a:rPr lang="nb-NO" sz="1100"/>
            <a:t>Klimavennlige byggematerialer, potensial for utslippskutt og barrierer mot bruk, Enova SF, 2020</a:t>
          </a:r>
        </a:p>
        <a:p>
          <a:r>
            <a:rPr lang="nb-NO" sz="1100" u="sng">
              <a:solidFill>
                <a:schemeClr val="dk1"/>
              </a:solidFill>
              <a:effectLst/>
              <a:latin typeface="+mn-lt"/>
              <a:ea typeface="+mn-ea"/>
              <a:cs typeface="+mn-cs"/>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a:p>
      </xdr:txBody>
    </xdr:sp>
    <xdr:clientData/>
  </xdr:twoCellAnchor>
  <xdr:twoCellAnchor>
    <xdr:from>
      <xdr:col>8</xdr:col>
      <xdr:colOff>628650</xdr:colOff>
      <xdr:row>0</xdr:row>
      <xdr:rowOff>66675</xdr:rowOff>
    </xdr:from>
    <xdr:to>
      <xdr:col>15</xdr:col>
      <xdr:colOff>419101</xdr:colOff>
      <xdr:row>7</xdr:row>
      <xdr:rowOff>1304925</xdr:rowOff>
    </xdr:to>
    <xdr:sp macro="" textlink="">
      <xdr:nvSpPr>
        <xdr:cNvPr id="3" name="Text Box 1">
          <a:extLst>
            <a:ext uri="{FF2B5EF4-FFF2-40B4-BE49-F238E27FC236}">
              <a16:creationId xmlns:a16="http://schemas.microsoft.com/office/drawing/2014/main" id="{8CF4E714-161F-48FF-BBEE-E7B65BC0C600}"/>
            </a:ext>
          </a:extLst>
        </xdr:cNvPr>
        <xdr:cNvSpPr txBox="1">
          <a:spLocks noChangeArrowheads="1"/>
        </xdr:cNvSpPr>
      </xdr:nvSpPr>
      <xdr:spPr bwMode="auto">
        <a:xfrm>
          <a:off x="8181975" y="66675"/>
          <a:ext cx="5505451" cy="2571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mn-lt"/>
              <a:cs typeface="Calibri"/>
            </a:rPr>
            <a:t>Om modellbyggene bak referansenivåene</a:t>
          </a:r>
        </a:p>
        <a:p>
          <a:pPr algn="l" rtl="0">
            <a:defRPr sz="1000"/>
          </a:pPr>
          <a:r>
            <a:rPr lang="nb-NO" sz="1100" b="0" i="0" u="none" strike="noStrike" baseline="0">
              <a:solidFill>
                <a:srgbClr val="000000"/>
              </a:solidFill>
              <a:latin typeface="+mn-lt"/>
              <a:cs typeface="Calibri"/>
            </a:rPr>
            <a:t>Geometrien for modellbyggene er basert på Sintefs modellbygg, som også er kjent som “SINTEF-kassa”. Denne ble første gang utviklet i 2003, men de ble noe revidert i 2006, i forbindelse med arbeidet med å fastsette energirammekrav i revidert TEK 97 (disse kravene omtales ofte som TEK 07, noe som formelt sett ikke er korrekt). I ettertid har disse modellbyggene blitt brukt i noe omarbeidet form for reviderte energikrav i forskriftene (TEK 10, TEK 17), samt i passivhusstandardene (NS 370x) mm.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SINTEF skriver at «Bygningsmodellene lagt til grunn for foreliggende forslag til energirammer er basert på en kompakt og energieffektiv bygningsform».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Følgende inndata gjelder for modellbyggberegningene som ligger til grunn for referansenivåene i kriterieveiviserens verktøy.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10</xdr:col>
      <xdr:colOff>2247900</xdr:colOff>
      <xdr:row>9</xdr:row>
      <xdr:rowOff>66675</xdr:rowOff>
    </xdr:to>
    <xdr:sp macro="" textlink="">
      <xdr:nvSpPr>
        <xdr:cNvPr id="3" name="TekstSylinder 2">
          <a:extLst>
            <a:ext uri="{FF2B5EF4-FFF2-40B4-BE49-F238E27FC236}">
              <a16:creationId xmlns:a16="http://schemas.microsoft.com/office/drawing/2014/main" id="{5887CF24-8330-4C16-9F40-E8A9B2AB00D4}"/>
            </a:ext>
          </a:extLst>
        </xdr:cNvPr>
        <xdr:cNvSpPr txBox="1"/>
      </xdr:nvSpPr>
      <xdr:spPr>
        <a:xfrm>
          <a:off x="133350" y="95250"/>
          <a:ext cx="128492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Denne fanen viser tabeller for løsnings- og materialvalg og oppbygging for modellbyggene. Dersom du er usikker på hvilken bygningskategori som best representerer ditt prosjekt, kan det være lurt å ta en titt på denne fanen. Dette er spesielt aktuelt for omsorgsbygg og barnehager som ikke har en egen bygningskategori.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Mange barnehager og omsorgsboliger kan kateogriseres som småhus. Dette gjelder dersom byggene bygges med maks 2 etasjer og geometrien og romprogrammet ikke stiller krav til sterkere konstruksjon enn standard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omsorgsboliger på mer enn to etasjer bør heller "sykehjem" vurderes. Dette kan også gjelde for 2-etasjes bygg som krever ekstra lange spenn, eller sterkere konstruksjon enn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barnehager på mer enn to etasjer eller med krav til ekstra spenn og bæreevne kan "Skolebygg" benyttes.</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Q3:Q17"/>
  <sheetViews>
    <sheetView showGridLines="0" tabSelected="1" workbookViewId="0"/>
  </sheetViews>
  <sheetFormatPr baseColWidth="10" defaultColWidth="11.42578125" defaultRowHeight="15" x14ac:dyDescent="0.25"/>
  <sheetData>
    <row r="3" spans="17:17" x14ac:dyDescent="0.25">
      <c r="Q3" t="s">
        <v>447</v>
      </c>
    </row>
    <row r="4" spans="17:17" x14ac:dyDescent="0.25">
      <c r="Q4" t="s">
        <v>448</v>
      </c>
    </row>
    <row r="17" spans="17:17" x14ac:dyDescent="0.25">
      <c r="Q17" s="51"/>
    </row>
  </sheetData>
  <sheetProtection algorithmName="SHA-512" hashValue="KCtfXt8J9ov+nx9dbHS183lvw3yks4Q46UCNJPoJEbx5l9Hq05hkgcfQ48WVR4EfyT1w0WoS8CKEwewYuAcQcg==" saltValue="m5owSTmJsBva3KCJVcQ+P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3"/>
  <sheetViews>
    <sheetView showGridLines="0" zoomScale="90" zoomScaleNormal="90" workbookViewId="0">
      <selection activeCell="B6" sqref="B6"/>
    </sheetView>
  </sheetViews>
  <sheetFormatPr baseColWidth="10" defaultColWidth="11.42578125" defaultRowHeight="15" x14ac:dyDescent="0.25"/>
  <cols>
    <col min="1" max="1" width="27.42578125" customWidth="1"/>
    <col min="3" max="3" width="12.140625" customWidth="1"/>
    <col min="4" max="4" width="10.7109375" customWidth="1"/>
    <col min="5" max="5" width="12.7109375" customWidth="1"/>
    <col min="6" max="6" width="25.140625" customWidth="1"/>
    <col min="7" max="7" width="40.7109375" customWidth="1"/>
    <col min="8" max="8" width="10.28515625" customWidth="1"/>
    <col min="9" max="9" width="24.7109375" bestFit="1" customWidth="1"/>
    <col min="12" max="12" width="10.28515625" customWidth="1"/>
    <col min="14" max="14" width="3.140625" customWidth="1"/>
    <col min="18" max="18" width="2.7109375" customWidth="1"/>
    <col min="22" max="22" width="2.85546875" customWidth="1"/>
  </cols>
  <sheetData>
    <row r="1" spans="1:25" ht="25.5" customHeight="1" x14ac:dyDescent="0.3">
      <c r="A1" s="95" t="s">
        <v>0</v>
      </c>
      <c r="B1" s="96"/>
      <c r="C1" s="96"/>
      <c r="D1" s="96"/>
      <c r="E1" s="97"/>
      <c r="F1" s="97"/>
      <c r="G1" s="97"/>
      <c r="H1" s="97"/>
      <c r="I1" s="251"/>
      <c r="J1" s="251"/>
      <c r="K1" s="251"/>
      <c r="L1" s="251"/>
      <c r="M1" s="251"/>
      <c r="N1" s="251"/>
      <c r="O1" s="251"/>
      <c r="P1" s="251"/>
      <c r="Q1" s="251"/>
      <c r="R1" s="251"/>
      <c r="S1" s="251"/>
      <c r="T1" s="251"/>
      <c r="U1" s="251"/>
      <c r="V1" s="251"/>
      <c r="W1" s="251"/>
      <c r="X1" s="251"/>
      <c r="Y1" s="251"/>
    </row>
    <row r="2" spans="1:25" ht="15.75" thickBot="1" x14ac:dyDescent="0.3">
      <c r="A2" s="49"/>
      <c r="B2" s="49"/>
      <c r="C2" s="49"/>
      <c r="D2" s="49"/>
      <c r="E2" s="49"/>
      <c r="F2" s="49"/>
      <c r="G2" s="49"/>
      <c r="H2" s="49"/>
    </row>
    <row r="3" spans="1:25" ht="21.75" customHeight="1" thickBot="1" x14ac:dyDescent="0.3">
      <c r="A3" s="278" t="s">
        <v>449</v>
      </c>
      <c r="B3" s="279"/>
      <c r="C3" s="280"/>
      <c r="D3" s="276" t="s">
        <v>1</v>
      </c>
      <c r="E3" s="277"/>
      <c r="F3" s="277"/>
      <c r="G3" s="277"/>
      <c r="H3" s="49"/>
      <c r="I3" s="98" t="str">
        <f>"REFERANSENIVÅ FOR UTSLIPP, "&amp; UPPER(B4)</f>
        <v>REFERANSENIVÅ FOR UTSLIPP, VELG BYGNINGSKATEGORI</v>
      </c>
      <c r="J3" s="99"/>
      <c r="K3" s="99"/>
      <c r="L3" s="99"/>
      <c r="M3" s="99"/>
      <c r="N3" s="99"/>
      <c r="O3" s="99"/>
      <c r="P3" s="99"/>
      <c r="Q3" s="99"/>
      <c r="R3" s="99"/>
      <c r="S3" s="99"/>
      <c r="T3" s="99"/>
      <c r="U3" s="99"/>
      <c r="V3" s="99"/>
      <c r="W3" s="99"/>
      <c r="X3" s="99"/>
      <c r="Y3" s="99"/>
    </row>
    <row r="4" spans="1:25" ht="18" customHeight="1" thickBot="1" x14ac:dyDescent="0.3">
      <c r="A4" s="224" t="s">
        <v>2</v>
      </c>
      <c r="B4" s="274" t="s">
        <v>105</v>
      </c>
      <c r="C4" s="275"/>
      <c r="D4" s="224" t="s">
        <v>4</v>
      </c>
      <c r="E4" s="225"/>
      <c r="F4" s="226"/>
      <c r="G4" s="227" t="s">
        <v>5</v>
      </c>
      <c r="H4" s="49"/>
    </row>
    <row r="5" spans="1:25" ht="18" thickBot="1" x14ac:dyDescent="0.3">
      <c r="A5" s="89" t="str">
        <f>B4&amp;" (over bakken)"</f>
        <v>Velg bygningskategori (over bakken)</v>
      </c>
      <c r="B5" s="236">
        <v>0</v>
      </c>
      <c r="C5" s="85" t="s">
        <v>6</v>
      </c>
      <c r="D5" s="271" t="s">
        <v>7</v>
      </c>
      <c r="E5" s="272"/>
      <c r="F5" s="273"/>
      <c r="G5" s="242"/>
      <c r="H5" s="48"/>
      <c r="I5" s="262" t="str">
        <f>IF(B4=Nedtrekksmenyer!A1,"Velg bygningskategori",B4&amp;" Samlet")</f>
        <v>Velg bygningskategori</v>
      </c>
      <c r="J5" s="263"/>
      <c r="K5" s="263"/>
      <c r="L5" s="263"/>
      <c r="M5" s="264"/>
      <c r="O5" s="253" t="str">
        <f>IF(B4="Velg bygningskategori","Velg bygningskategori",B4&amp;" over bakken")</f>
        <v>Velg bygningskategori</v>
      </c>
      <c r="P5" s="254"/>
      <c r="Q5" s="255"/>
      <c r="S5" s="253" t="str">
        <f>IF(B4=Nedtrekksmenyer!A1,"Velg bygningskategori","Kjeller, oppvarmet")</f>
        <v>Velg bygningskategori</v>
      </c>
      <c r="T5" s="254"/>
      <c r="U5" s="255"/>
      <c r="W5" s="253" t="str">
        <f>IF(J7=Nedtrekksmenyer!E1,"Velg bygningskategori","Kjeller, uoppvarmet")</f>
        <v>Kjeller, uoppvarmet</v>
      </c>
      <c r="X5" s="254"/>
      <c r="Y5" s="255"/>
    </row>
    <row r="6" spans="1:25" ht="18.75" thickBot="1" x14ac:dyDescent="0.4">
      <c r="A6" s="90" t="s">
        <v>8</v>
      </c>
      <c r="B6" s="237">
        <v>0</v>
      </c>
      <c r="C6" s="86" t="s">
        <v>6</v>
      </c>
      <c r="D6" s="271" t="s">
        <v>9</v>
      </c>
      <c r="E6" s="272"/>
      <c r="F6" s="273"/>
      <c r="G6" s="243"/>
      <c r="H6" s="48"/>
      <c r="I6" s="121" t="s">
        <v>10</v>
      </c>
      <c r="J6" s="109" t="s">
        <v>11</v>
      </c>
      <c r="K6" s="110" t="s">
        <v>12</v>
      </c>
      <c r="L6" s="111" t="s">
        <v>13</v>
      </c>
      <c r="M6" s="112" t="s">
        <v>14</v>
      </c>
      <c r="O6" s="109" t="s">
        <v>11</v>
      </c>
      <c r="P6" s="110" t="s">
        <v>12</v>
      </c>
      <c r="Q6" s="116" t="s">
        <v>13</v>
      </c>
      <c r="R6" s="31"/>
      <c r="S6" s="109" t="s">
        <v>11</v>
      </c>
      <c r="T6" s="110" t="s">
        <v>12</v>
      </c>
      <c r="U6" s="116" t="s">
        <v>13</v>
      </c>
      <c r="V6" s="31"/>
      <c r="W6" s="109" t="s">
        <v>11</v>
      </c>
      <c r="X6" s="110" t="s">
        <v>12</v>
      </c>
      <c r="Y6" s="116" t="s">
        <v>13</v>
      </c>
    </row>
    <row r="7" spans="1:25" ht="17.25" x14ac:dyDescent="0.25">
      <c r="A7" s="90" t="s">
        <v>15</v>
      </c>
      <c r="B7" s="237">
        <v>0</v>
      </c>
      <c r="C7" s="86" t="s">
        <v>6</v>
      </c>
      <c r="D7" s="271" t="s">
        <v>16</v>
      </c>
      <c r="E7" s="272"/>
      <c r="F7" s="273"/>
      <c r="G7" s="243"/>
      <c r="H7" s="48"/>
      <c r="I7" s="118" t="s">
        <v>17</v>
      </c>
      <c r="J7" s="125" t="str">
        <f>IF(B4=Nedtrekksmenyer!A1,"-",O7+S7+W7)</f>
        <v>-</v>
      </c>
      <c r="K7" s="126" t="str">
        <f>IF(B4=Nedtrekksmenyer!A1,"-",P7+T7)</f>
        <v>-</v>
      </c>
      <c r="L7" s="127">
        <v>0</v>
      </c>
      <c r="M7" s="128">
        <f>SUM(J7:L7)</f>
        <v>0</v>
      </c>
      <c r="O7" s="125" t="str">
        <f>IF(B4=Nedtrekksmenyer!A1,"-",IF(B4=Nedtrekksmenyer!A7,0,($B$5+$B$6+$B$7)*$B$9*('Utslippstall modellbygg'!AC18+'Utslippstall modellbygg'!AC19)/1000+IF($B$9=0,0,$B$8*'Utslippstall modellbygg'!AC20/1000)))</f>
        <v>-</v>
      </c>
      <c r="P7" s="126" t="str">
        <f>IF(B4=Nedtrekksmenyer!A1,"-",IF(B4=Nedtrekksmenyer!A7,0,(($B$5+$B$6+$B$7)*$B$9*('Utslippstall modellbygg'!AD18+'Utslippstall modellbygg'!AD19))/1000+IF($B$9=0,0,$B$8*'Utslippstall modellbygg'!AD20/1000)))</f>
        <v>-</v>
      </c>
      <c r="Q7" s="148" t="str">
        <f>IF(B4=Nedtrekksmenyer!A1,"-","")</f>
        <v>-</v>
      </c>
      <c r="S7" s="125"/>
      <c r="T7" s="126"/>
      <c r="U7" s="148" t="str">
        <f>IF(B4=Nedtrekksmenyer!A1,"-","")</f>
        <v>-</v>
      </c>
      <c r="W7" s="153"/>
      <c r="X7" s="154"/>
      <c r="Y7" s="155" t="str">
        <f>IF(J7=Nedtrekksmenyer!E1,"-","")</f>
        <v/>
      </c>
    </row>
    <row r="8" spans="1:25" ht="17.25" x14ac:dyDescent="0.25">
      <c r="A8" s="90" t="s">
        <v>18</v>
      </c>
      <c r="B8" s="237">
        <v>0</v>
      </c>
      <c r="C8" s="86" t="s">
        <v>19</v>
      </c>
      <c r="D8" s="271" t="s">
        <v>20</v>
      </c>
      <c r="E8" s="272"/>
      <c r="F8" s="273"/>
      <c r="G8" s="243"/>
      <c r="H8" s="49"/>
      <c r="I8" s="119" t="s">
        <v>21</v>
      </c>
      <c r="J8" s="129" t="str">
        <f>IF(B4=Nedtrekksmenyer!A1,"-",O8+S8+W8)</f>
        <v>-</v>
      </c>
      <c r="K8" s="130" t="str">
        <f>IF(B4=Nedtrekksmenyer!A1,"-",P8+T8+X8)</f>
        <v>-</v>
      </c>
      <c r="L8" s="131" t="str">
        <f>IF(B4=Nedtrekksmenyer!A1,"-",Q8+U8)</f>
        <v>-</v>
      </c>
      <c r="M8" s="132">
        <f t="shared" ref="M8:M14" si="0">SUM(J8:L8)</f>
        <v>0</v>
      </c>
      <c r="O8" s="129" t="str">
        <f>_xlfn.IFNA(($B$5*HLOOKUP(B4&amp;O6,'Utslippstall modellbygg'!B17:S23,2,FALSE))/1000,"-")</f>
        <v>-</v>
      </c>
      <c r="P8" s="130" t="str">
        <f>_xlfn.IFNA(($B$5*HLOOKUP(B4&amp;P6,'Utslippstall modellbygg'!B17:S23,2,FALSE))/1000,"-")</f>
        <v>-</v>
      </c>
      <c r="Q8" s="149" t="str">
        <f>_xlfn.IFNA(($B$5*HLOOKUP(B4&amp;Q6,'Utslippstall modellbygg'!B17:S23,2,FALSE))/1000,"-")</f>
        <v>-</v>
      </c>
      <c r="S8" s="129" t="str">
        <f>IF(B4=Nedtrekksmenyer!A1,"-",('Utslippstall modellbygg'!T18*$B$6)/1000)</f>
        <v>-</v>
      </c>
      <c r="T8" s="130" t="str">
        <f>IF(B4=Nedtrekksmenyer!A1,"-",('Utslippstall modellbygg'!U18*$B$6)/1000)</f>
        <v>-</v>
      </c>
      <c r="U8" s="149" t="str">
        <f>IF(B4=Nedtrekksmenyer!A1,"-",('Utslippstall modellbygg'!V18*$B$6)/1000)</f>
        <v>-</v>
      </c>
      <c r="W8" s="129" t="str">
        <f>IF($B$4=Nedtrekksmenyer!$A$1,"-",('Utslippstall modellbygg'!W18*$B$7)/1000)</f>
        <v>-</v>
      </c>
      <c r="X8" s="130" t="str">
        <f>IF($B$4=Nedtrekksmenyer!$A$1,"-",('Utslippstall modellbygg'!X18*$B$7)/1000)</f>
        <v>-</v>
      </c>
      <c r="Y8" s="149" t="str">
        <f>IF($B$4=Nedtrekksmenyer!$A$1,"-",('Utslippstall modellbygg'!Y18*$B$7)/1000)</f>
        <v>-</v>
      </c>
    </row>
    <row r="9" spans="1:25" ht="15.75" thickBot="1" x14ac:dyDescent="0.3">
      <c r="A9" s="91" t="s">
        <v>22</v>
      </c>
      <c r="B9" s="238">
        <v>0</v>
      </c>
      <c r="C9" s="147" t="s">
        <v>23</v>
      </c>
      <c r="D9" s="281" t="s">
        <v>24</v>
      </c>
      <c r="E9" s="282"/>
      <c r="F9" s="283"/>
      <c r="G9" s="244"/>
      <c r="I9" s="119" t="s">
        <v>25</v>
      </c>
      <c r="J9" s="129" t="str">
        <f>IF(B4=Nedtrekksmenyer!A1,"-",O9+S9+W9)</f>
        <v>-</v>
      </c>
      <c r="K9" s="130" t="str">
        <f>IF(B4=Nedtrekksmenyer!A1,"-",P9+T9+X9)</f>
        <v>-</v>
      </c>
      <c r="L9" s="131" t="str">
        <f>IF(B4=Nedtrekksmenyer!A1,"-",Q9+U9)</f>
        <v>-</v>
      </c>
      <c r="M9" s="132">
        <f t="shared" si="0"/>
        <v>0</v>
      </c>
      <c r="O9" s="129" t="str">
        <f>_xlfn.IFNA(($B$5*HLOOKUP(B4&amp;O6,'Utslippstall modellbygg'!B17:S23,3,FALSE))/1000,"-")</f>
        <v>-</v>
      </c>
      <c r="P9" s="130" t="str">
        <f>_xlfn.IFNA(($B$5*HLOOKUP(B4&amp;P6,'Utslippstall modellbygg'!B17:S23,3,FALSE))/1000,"-")</f>
        <v>-</v>
      </c>
      <c r="Q9" s="149" t="str">
        <f>_xlfn.IFNA(($B$5*HLOOKUP(B4&amp;Q6,'Utslippstall modellbygg'!B17:S23,3,FALSE))/1000,"-")</f>
        <v>-</v>
      </c>
      <c r="S9" s="129" t="str">
        <f>IF(B4=Nedtrekksmenyer!A1,"-",('Utslippstall modellbygg'!T19*$B$6)/1000)</f>
        <v>-</v>
      </c>
      <c r="T9" s="130" t="str">
        <f>IF(B4=Nedtrekksmenyer!A1,"-",('Utslippstall modellbygg'!U19*$B$6)/1000)</f>
        <v>-</v>
      </c>
      <c r="U9" s="149" t="str">
        <f>IF(B4=Nedtrekksmenyer!A1,"-",('Utslippstall modellbygg'!V19*$B$6)/1000)</f>
        <v>-</v>
      </c>
      <c r="W9" s="129" t="str">
        <f>IF($B$4=Nedtrekksmenyer!$A$1,"-",('Utslippstall modellbygg'!W19*$B$7)/1000)</f>
        <v>-</v>
      </c>
      <c r="X9" s="130" t="str">
        <f>IF($B$4=Nedtrekksmenyer!$A$1,"-",('Utslippstall modellbygg'!X19*$B$7)/1000)</f>
        <v>-</v>
      </c>
      <c r="Y9" s="149" t="str">
        <f>IF($B$4=Nedtrekksmenyer!$A$1,"-",('Utslippstall modellbygg'!Y19*$B$7)/1000)</f>
        <v>-</v>
      </c>
    </row>
    <row r="10" spans="1:25" ht="17.25" x14ac:dyDescent="0.25">
      <c r="A10" s="89" t="s">
        <v>26</v>
      </c>
      <c r="B10" s="239">
        <v>0</v>
      </c>
      <c r="C10" s="85" t="s">
        <v>27</v>
      </c>
      <c r="D10" s="271" t="s">
        <v>20</v>
      </c>
      <c r="E10" s="272"/>
      <c r="F10" s="273"/>
      <c r="G10" s="245"/>
      <c r="I10" s="119" t="s">
        <v>28</v>
      </c>
      <c r="J10" s="129" t="str">
        <f>IF(B4=Nedtrekksmenyer!A1,"-",O10+S10+W10)</f>
        <v>-</v>
      </c>
      <c r="K10" s="130" t="str">
        <f>IF(B4=Nedtrekksmenyer!A1,"-",P10+T10+X10)</f>
        <v>-</v>
      </c>
      <c r="L10" s="131" t="str">
        <f>IF(B4=Nedtrekksmenyer!A1,"-",Q10+U10)</f>
        <v>-</v>
      </c>
      <c r="M10" s="132">
        <f t="shared" si="0"/>
        <v>0</v>
      </c>
      <c r="O10" s="129" t="str">
        <f>_xlfn.IFNA(($B$5*HLOOKUP(B4&amp;O6,'Utslippstall modellbygg'!B17:S23,4,FALSE))/1000,"-")</f>
        <v>-</v>
      </c>
      <c r="P10" s="130" t="str">
        <f>_xlfn.IFNA(($B$5*HLOOKUP(B4&amp;P6,'Utslippstall modellbygg'!B17:S23,4,FALSE))/1000,"-")</f>
        <v>-</v>
      </c>
      <c r="Q10" s="149" t="str">
        <f>_xlfn.IFNA(($B$5*HLOOKUP(B4&amp;Q6,'Utslippstall modellbygg'!B17:S23,4,FALSE))/1000,"-")</f>
        <v>-</v>
      </c>
      <c r="S10" s="129" t="str">
        <f>IF(B4=Nedtrekksmenyer!A1,"-",('Utslippstall modellbygg'!T20*$B$6)/1000)</f>
        <v>-</v>
      </c>
      <c r="T10" s="130" t="str">
        <f>IF(B4=Nedtrekksmenyer!A1,"-",('Utslippstall modellbygg'!U20*$B$6)/1000)</f>
        <v>-</v>
      </c>
      <c r="U10" s="149" t="str">
        <f>IF(B4=Nedtrekksmenyer!A1,"-",('Utslippstall modellbygg'!V20*$B$6)/1000)</f>
        <v>-</v>
      </c>
      <c r="W10" s="129" t="str">
        <f>IF($B$4=Nedtrekksmenyer!$A$1,"-",('Utslippstall modellbygg'!W20*$B$7)/1000)</f>
        <v>-</v>
      </c>
      <c r="X10" s="130" t="str">
        <f>IF($B$4=Nedtrekksmenyer!$A$1,"-",('Utslippstall modellbygg'!X20*$B$7)/1000)</f>
        <v>-</v>
      </c>
      <c r="Y10" s="149" t="str">
        <f>IF($B$4=Nedtrekksmenyer!$A$1,"-",('Utslippstall modellbygg'!Y20*$B$7)/1000)</f>
        <v>-</v>
      </c>
    </row>
    <row r="11" spans="1:25" x14ac:dyDescent="0.25">
      <c r="A11" s="92" t="s">
        <v>29</v>
      </c>
      <c r="B11" s="240">
        <v>0</v>
      </c>
      <c r="C11" s="86" t="s">
        <v>30</v>
      </c>
      <c r="D11" s="271" t="s">
        <v>31</v>
      </c>
      <c r="E11" s="272"/>
      <c r="F11" s="273"/>
      <c r="G11" s="243"/>
      <c r="I11" s="119" t="s">
        <v>32</v>
      </c>
      <c r="J11" s="129" t="str">
        <f>IF(B4=Nedtrekksmenyer!A1,"-",O11+S11+W11)</f>
        <v>-</v>
      </c>
      <c r="K11" s="130" t="str">
        <f>IF(B4=Nedtrekksmenyer!A1,"-",P11+T11+X11)</f>
        <v>-</v>
      </c>
      <c r="L11" s="131" t="str">
        <f>IF(B4=Nedtrekksmenyer!A1,"-",Q11+U11)</f>
        <v>-</v>
      </c>
      <c r="M11" s="132">
        <f t="shared" si="0"/>
        <v>0</v>
      </c>
      <c r="O11" s="129" t="str">
        <f>_xlfn.IFNA(($B$5*HLOOKUP(B4&amp;O6,'Utslippstall modellbygg'!B17:S23,5,FALSE))/1000,"-")</f>
        <v>-</v>
      </c>
      <c r="P11" s="130" t="str">
        <f>_xlfn.IFNA(($B$5*HLOOKUP(B4&amp;P6,'Utslippstall modellbygg'!B17:S23,5,FALSE))/1000,"-")</f>
        <v>-</v>
      </c>
      <c r="Q11" s="149" t="str">
        <f>_xlfn.IFNA(($B$5*HLOOKUP(B4&amp;Q6,'Utslippstall modellbygg'!B17:S23,5,FALSE))/1000,"-")</f>
        <v>-</v>
      </c>
      <c r="S11" s="129" t="str">
        <f>IF(B4=Nedtrekksmenyer!A1,"-",('Utslippstall modellbygg'!T21*$B$6)/1000)</f>
        <v>-</v>
      </c>
      <c r="T11" s="130" t="str">
        <f>IF(B4=Nedtrekksmenyer!A1,"-",('Utslippstall modellbygg'!U21*$B$6)/1000)</f>
        <v>-</v>
      </c>
      <c r="U11" s="149" t="str">
        <f>IF(B4=Nedtrekksmenyer!A1,"-",('Utslippstall modellbygg'!V21*$B$6)/1000)</f>
        <v>-</v>
      </c>
      <c r="W11" s="129" t="str">
        <f>IF($B$4=Nedtrekksmenyer!$A$1,"-",('Utslippstall modellbygg'!W21*$B$7)/1000)</f>
        <v>-</v>
      </c>
      <c r="X11" s="130" t="str">
        <f>IF($B$4=Nedtrekksmenyer!$A$1,"-",('Utslippstall modellbygg'!X21*$B$7)/1000)</f>
        <v>-</v>
      </c>
      <c r="Y11" s="149" t="str">
        <f>IF($B$4=Nedtrekksmenyer!$A$1,"-",('Utslippstall modellbygg'!Y21*$B$7)/1000)</f>
        <v>-</v>
      </c>
    </row>
    <row r="12" spans="1:25" x14ac:dyDescent="0.25">
      <c r="A12" s="93" t="s">
        <v>33</v>
      </c>
      <c r="B12" s="240">
        <v>0</v>
      </c>
      <c r="C12" s="86" t="s">
        <v>34</v>
      </c>
      <c r="D12" s="271" t="s">
        <v>35</v>
      </c>
      <c r="E12" s="272"/>
      <c r="F12" s="273"/>
      <c r="G12" s="243"/>
      <c r="I12" s="119" t="s">
        <v>36</v>
      </c>
      <c r="J12" s="129" t="str">
        <f>IF(B4=Nedtrekksmenyer!A1,"-",O12+S12+W12)</f>
        <v>-</v>
      </c>
      <c r="K12" s="130" t="str">
        <f>IF(B4=Nedtrekksmenyer!A1,"-",P12+T12+X12)</f>
        <v>-</v>
      </c>
      <c r="L12" s="131" t="str">
        <f>IF(B4=Nedtrekksmenyer!A1,"-",Q12+U12)</f>
        <v>-</v>
      </c>
      <c r="M12" s="132">
        <f t="shared" si="0"/>
        <v>0</v>
      </c>
      <c r="O12" s="129" t="str">
        <f>_xlfn.IFNA(($B$5*HLOOKUP(B4&amp;O6,'Utslippstall modellbygg'!B17:S23,6,FALSE))/1000,"-")</f>
        <v>-</v>
      </c>
      <c r="P12" s="130" t="str">
        <f>_xlfn.IFNA(($B$5*HLOOKUP(B4&amp;P6,'Utslippstall modellbygg'!B17:S23,6,FALSE))/1000,"-")</f>
        <v>-</v>
      </c>
      <c r="Q12" s="149" t="str">
        <f>_xlfn.IFNA(($B$5*HLOOKUP(B4&amp;Q6,'Utslippstall modellbygg'!B17:S23,6,FALSE))/1000,"-")</f>
        <v>-</v>
      </c>
      <c r="S12" s="129" t="str">
        <f>IF(B4=Nedtrekksmenyer!A1,"-",('Utslippstall modellbygg'!T22*$B$6)/1000)</f>
        <v>-</v>
      </c>
      <c r="T12" s="130" t="str">
        <f>IF(B4=Nedtrekksmenyer!A1,"-",('Utslippstall modellbygg'!U22*$B$6)/1000)</f>
        <v>-</v>
      </c>
      <c r="U12" s="149" t="str">
        <f>IF(B4=Nedtrekksmenyer!A1,"-",('Utslippstall modellbygg'!V22*$B$6)/1000)</f>
        <v>-</v>
      </c>
      <c r="W12" s="129" t="str">
        <f>IF($B$4=Nedtrekksmenyer!$A$1,"-",('Utslippstall modellbygg'!W22*$B$7)/1000)</f>
        <v>-</v>
      </c>
      <c r="X12" s="130" t="str">
        <f>IF($B$4=Nedtrekksmenyer!$A$1,"-",('Utslippstall modellbygg'!X22*$B$7)/1000)</f>
        <v>-</v>
      </c>
      <c r="Y12" s="149" t="str">
        <f>IF($B$4=Nedtrekksmenyer!$A$1,"-",('Utslippstall modellbygg'!Y22*$B$7)/1000)</f>
        <v>-</v>
      </c>
    </row>
    <row r="13" spans="1:25" ht="15.75" thickBot="1" x14ac:dyDescent="0.3">
      <c r="A13" s="94" t="s">
        <v>37</v>
      </c>
      <c r="B13" s="88">
        <f>B12*B11</f>
        <v>0</v>
      </c>
      <c r="C13" s="87" t="s">
        <v>38</v>
      </c>
      <c r="D13" s="228" t="s">
        <v>446</v>
      </c>
      <c r="E13" s="229"/>
      <c r="F13" s="230"/>
      <c r="G13" s="244"/>
      <c r="I13" s="120" t="s">
        <v>39</v>
      </c>
      <c r="J13" s="133" t="str">
        <f>IF(B4=Nedtrekksmenyer!A1,"-",O13+S13+W13)</f>
        <v>-</v>
      </c>
      <c r="K13" s="134" t="str">
        <f>IF(B4=Nedtrekksmenyer!A1,"-",P13+T13+X13)</f>
        <v>-</v>
      </c>
      <c r="L13" s="135" t="str">
        <f>IF(B4=Nedtrekksmenyer!A1,"-",Q13+U13)</f>
        <v>-</v>
      </c>
      <c r="M13" s="136">
        <f t="shared" si="0"/>
        <v>0</v>
      </c>
      <c r="O13" s="133" t="str">
        <f>_xlfn.IFNA(($B$5*HLOOKUP(B4&amp;O6,'Utslippstall modellbygg'!B17:S23,7,FALSE))/1000,"-")</f>
        <v>-</v>
      </c>
      <c r="P13" s="134" t="str">
        <f>_xlfn.IFNA(($B$5*HLOOKUP(B4&amp;P6,'Utslippstall modellbygg'!B17:S23,7,FALSE))/1000,"-")</f>
        <v>-</v>
      </c>
      <c r="Q13" s="150" t="str">
        <f>_xlfn.IFNA(($B$5*HLOOKUP(B4&amp;Q6,'Utslippstall modellbygg'!B17:S23,7,FALSE))/1000,"-")</f>
        <v>-</v>
      </c>
      <c r="S13" s="133" t="str">
        <f>IF(B4=Nedtrekksmenyer!A1,"-",('Utslippstall modellbygg'!T23*$B$6)/1000)</f>
        <v>-</v>
      </c>
      <c r="T13" s="134" t="str">
        <f>IF(B4=Nedtrekksmenyer!A1,"-",('Utslippstall modellbygg'!U23*$B$6)/1000)</f>
        <v>-</v>
      </c>
      <c r="U13" s="150" t="str">
        <f>IF(B4=Nedtrekksmenyer!A1,"-",('Utslippstall modellbygg'!V23*$B$6)/1000)</f>
        <v>-</v>
      </c>
      <c r="W13" s="156" t="str">
        <f>IF($B$4=Nedtrekksmenyer!$A$1,"-",('Utslippstall modellbygg'!W23*$B$7)/1000)</f>
        <v>-</v>
      </c>
      <c r="X13" s="157" t="str">
        <f>IF($B$4=Nedtrekksmenyer!$A$1,"-",('Utslippstall modellbygg'!X23*$B$7)/1000)</f>
        <v>-</v>
      </c>
      <c r="Y13" s="158" t="str">
        <f>IF($B$4=Nedtrekksmenyer!$A$1,"-",('Utslippstall modellbygg'!Y23*$B$7)/1000)</f>
        <v>-</v>
      </c>
    </row>
    <row r="14" spans="1:25" ht="15.75" thickBot="1" x14ac:dyDescent="0.3">
      <c r="I14" s="121" t="s">
        <v>40</v>
      </c>
      <c r="J14" s="113" t="str">
        <f>IF(B4=Nedtrekksmenyer!A1,"-",SUM(J7:J13))</f>
        <v>-</v>
      </c>
      <c r="K14" s="114" t="str">
        <f>IF(B4=Nedtrekksmenyer!A1,"-",SUM(K7:K13))</f>
        <v>-</v>
      </c>
      <c r="L14" s="115" t="str">
        <f>IF(B4=Nedtrekksmenyer!A1,"-",SUM(L7:L13))</f>
        <v>-</v>
      </c>
      <c r="M14" s="83">
        <f t="shared" si="0"/>
        <v>0</v>
      </c>
      <c r="O14" s="113" t="str">
        <f>IF(B4=Nedtrekksmenyer!A1,"-",SUM(O7:O13))</f>
        <v>-</v>
      </c>
      <c r="P14" s="114" t="str">
        <f>IF(B4=Nedtrekksmenyer!A1,"-",SUM(P7:P13))</f>
        <v>-</v>
      </c>
      <c r="Q14" s="117" t="str">
        <f>IF(B4=Nedtrekksmenyer!A1,"-",SUM(Q7:Q13))</f>
        <v>-</v>
      </c>
      <c r="R14" s="31"/>
      <c r="S14" s="113" t="str">
        <f>IF(B4=Nedtrekksmenyer!A1,"-",SUM(S7:S13))</f>
        <v>-</v>
      </c>
      <c r="T14" s="114" t="str">
        <f>IF(B4=Nedtrekksmenyer!A1,"-",SUM(T7:T13))</f>
        <v>-</v>
      </c>
      <c r="U14" s="117" t="str">
        <f>IF(B4=Nedtrekksmenyer!A1,"-",SUM(U7:U13))</f>
        <v>-</v>
      </c>
      <c r="V14" s="31"/>
      <c r="W14" s="113">
        <f>IF(J7=Nedtrekksmenyer!E1,"-",SUM(W7:W13))</f>
        <v>0</v>
      </c>
      <c r="X14" s="114">
        <f>IF(J7=Nedtrekksmenyer!E1,"-",SUM(X7:X13))</f>
        <v>0</v>
      </c>
      <c r="Y14" s="117">
        <f>IF(J7=Nedtrekksmenyer!E1,"-",SUM(Y7:Y13))</f>
        <v>0</v>
      </c>
    </row>
    <row r="15" spans="1:25" x14ac:dyDescent="0.25">
      <c r="I15" s="122" t="s">
        <v>41</v>
      </c>
      <c r="J15" s="137" t="str">
        <f>IF(B4=Nedtrekksmenyer!A1,"-",J14*1000/($B$5+$B$6)/60)</f>
        <v>-</v>
      </c>
      <c r="K15" s="138" t="str">
        <f>IF(B4=Nedtrekksmenyer!A1,"-",K14*1000/($B$5+$B$6)/60)</f>
        <v>-</v>
      </c>
      <c r="L15" s="139" t="str">
        <f>IF(B4=Nedtrekksmenyer!A1,"-",L14*1000/($B$5+$B$6)/60)</f>
        <v>-</v>
      </c>
      <c r="M15" s="140">
        <f>SUM(J15:L15)</f>
        <v>0</v>
      </c>
      <c r="O15" s="152"/>
      <c r="P15" s="152"/>
      <c r="Q15" s="152"/>
      <c r="R15" s="10"/>
      <c r="S15" s="152"/>
      <c r="T15" s="152"/>
      <c r="U15" s="152"/>
      <c r="V15" s="10"/>
      <c r="W15" s="152"/>
      <c r="X15" s="152"/>
      <c r="Y15" s="152"/>
    </row>
    <row r="16" spans="1:25" x14ac:dyDescent="0.25">
      <c r="I16" s="123" t="s">
        <v>42</v>
      </c>
      <c r="J16" s="246" t="e">
        <f>J14/$B$10/60*1000</f>
        <v>#VALUE!</v>
      </c>
      <c r="K16" s="247" t="e">
        <f>K14/$B$10/60*1000</f>
        <v>#VALUE!</v>
      </c>
      <c r="L16" s="141" t="e">
        <f>L14/$B$10/60*1000</f>
        <v>#VALUE!</v>
      </c>
      <c r="M16" s="142" t="e">
        <f>M14/$B$10/60*1000</f>
        <v>#DIV/0!</v>
      </c>
      <c r="O16" s="151"/>
      <c r="P16" s="151"/>
      <c r="Q16" s="33"/>
      <c r="S16" s="151"/>
      <c r="T16" s="151"/>
      <c r="U16" s="33"/>
      <c r="V16" s="3"/>
      <c r="W16" s="151"/>
      <c r="X16" s="151"/>
      <c r="Y16" s="33"/>
    </row>
    <row r="17" spans="1:25" ht="15.75" thickBot="1" x14ac:dyDescent="0.3">
      <c r="I17" s="124" t="s">
        <v>43</v>
      </c>
      <c r="J17" s="143" t="e">
        <f>J14/$B$13/60*1000</f>
        <v>#VALUE!</v>
      </c>
      <c r="K17" s="144" t="e">
        <f>K14/$B$13/60*1000</f>
        <v>#VALUE!</v>
      </c>
      <c r="L17" s="145" t="e">
        <f>L14/$B$13/60*1000</f>
        <v>#VALUE!</v>
      </c>
      <c r="M17" s="146" t="e">
        <f>M14/$B$13/60*1000</f>
        <v>#DIV/0!</v>
      </c>
      <c r="O17" s="252"/>
      <c r="P17" s="252"/>
      <c r="Q17" s="252"/>
      <c r="S17" s="252"/>
      <c r="T17" s="252"/>
      <c r="U17" s="252"/>
      <c r="V17" s="3"/>
      <c r="W17" s="252"/>
      <c r="X17" s="252"/>
      <c r="Y17" s="252"/>
    </row>
    <row r="20" spans="1:25" ht="15.75" thickBot="1" x14ac:dyDescent="0.3">
      <c r="A20" s="100"/>
      <c r="I20" s="10"/>
      <c r="J20" s="36"/>
      <c r="K20" s="36"/>
      <c r="L20" s="36"/>
      <c r="M20" s="34"/>
      <c r="O20" s="219"/>
      <c r="P20" s="219"/>
      <c r="Q20" s="219"/>
      <c r="S20" s="219"/>
      <c r="T20" s="219"/>
      <c r="U20" s="219"/>
      <c r="V20" s="3"/>
      <c r="W20" s="219"/>
      <c r="X20" s="219"/>
      <c r="Y20" s="219"/>
    </row>
    <row r="21" spans="1:25" ht="17.100000000000001" customHeight="1" x14ac:dyDescent="0.25">
      <c r="A21" s="286" t="s">
        <v>44</v>
      </c>
      <c r="B21" s="287"/>
      <c r="C21" s="288"/>
      <c r="D21" s="295">
        <f>M14</f>
        <v>0</v>
      </c>
      <c r="E21" s="297" t="s">
        <v>45</v>
      </c>
      <c r="F21" s="297"/>
      <c r="G21" s="298"/>
      <c r="H21" s="47"/>
      <c r="I21" s="55"/>
      <c r="J21" s="55"/>
      <c r="K21" s="55"/>
      <c r="L21" s="55"/>
      <c r="M21" s="55"/>
      <c r="N21" s="55"/>
      <c r="O21" s="55"/>
      <c r="P21" s="55"/>
      <c r="Q21" s="55"/>
      <c r="R21" s="55"/>
    </row>
    <row r="22" spans="1:25" ht="17.100000000000001" customHeight="1" thickBot="1" x14ac:dyDescent="0.3">
      <c r="A22" s="289"/>
      <c r="B22" s="290"/>
      <c r="C22" s="291"/>
      <c r="D22" s="296"/>
      <c r="E22" s="299"/>
      <c r="F22" s="299"/>
      <c r="G22" s="300"/>
      <c r="H22" s="47"/>
      <c r="I22" s="55"/>
      <c r="J22" s="55"/>
      <c r="K22" s="55"/>
      <c r="L22" s="55"/>
      <c r="M22" s="55"/>
      <c r="N22" s="55"/>
      <c r="O22" s="55"/>
      <c r="P22" s="55"/>
      <c r="Q22" s="55"/>
      <c r="R22" s="55"/>
    </row>
    <row r="23" spans="1:25" ht="17.100000000000001" customHeight="1" x14ac:dyDescent="0.25">
      <c r="A23" s="289"/>
      <c r="B23" s="290"/>
      <c r="C23" s="291"/>
      <c r="D23" s="301">
        <f>SUM(M8:M13)</f>
        <v>0</v>
      </c>
      <c r="E23" s="297" t="s">
        <v>46</v>
      </c>
      <c r="F23" s="297"/>
      <c r="G23" s="298"/>
      <c r="I23" s="55"/>
      <c r="J23" s="55"/>
      <c r="K23" s="55"/>
      <c r="L23" s="55"/>
      <c r="M23" s="55"/>
      <c r="N23" s="55"/>
      <c r="O23" s="55"/>
      <c r="P23" s="55"/>
      <c r="Q23" s="55"/>
    </row>
    <row r="24" spans="1:25" ht="17.100000000000001" customHeight="1" thickBot="1" x14ac:dyDescent="0.3">
      <c r="A24" s="292"/>
      <c r="B24" s="293"/>
      <c r="C24" s="294"/>
      <c r="D24" s="302"/>
      <c r="E24" s="299"/>
      <c r="F24" s="299"/>
      <c r="G24" s="300"/>
      <c r="I24" s="55"/>
      <c r="J24" s="55"/>
      <c r="K24" s="55"/>
      <c r="L24" s="55"/>
      <c r="M24" s="55"/>
      <c r="N24" s="55"/>
      <c r="O24" s="55"/>
      <c r="P24" s="55"/>
      <c r="Q24" s="55"/>
    </row>
    <row r="25" spans="1:25" x14ac:dyDescent="0.25">
      <c r="I25" s="55"/>
      <c r="J25" s="55"/>
      <c r="K25" s="55"/>
      <c r="L25" s="55"/>
      <c r="M25" s="55"/>
      <c r="N25" s="55"/>
      <c r="O25" s="55"/>
      <c r="P25" s="55"/>
      <c r="Q25" s="55"/>
    </row>
    <row r="26" spans="1:25" ht="15.75" thickBot="1" x14ac:dyDescent="0.3"/>
    <row r="27" spans="1:25" ht="24" customHeight="1" x14ac:dyDescent="0.25">
      <c r="A27" s="256" t="s">
        <v>47</v>
      </c>
      <c r="B27" s="257"/>
      <c r="C27" s="257"/>
      <c r="D27" s="257"/>
      <c r="E27" s="258"/>
      <c r="G27" s="55"/>
      <c r="H27" s="55"/>
      <c r="I27" s="55"/>
      <c r="J27" s="51"/>
      <c r="K27" s="55"/>
      <c r="L27" s="55"/>
      <c r="M27" s="55"/>
      <c r="N27" s="55"/>
      <c r="O27" s="55"/>
      <c r="P27" s="55"/>
      <c r="Q27" s="55"/>
      <c r="R27" s="55"/>
    </row>
    <row r="28" spans="1:25" ht="21" customHeight="1" thickBot="1" x14ac:dyDescent="0.3">
      <c r="A28" s="259"/>
      <c r="B28" s="260"/>
      <c r="C28" s="260"/>
      <c r="D28" s="260"/>
      <c r="E28" s="261"/>
      <c r="K28" s="55"/>
      <c r="L28" s="55"/>
      <c r="M28" s="55"/>
      <c r="N28" s="55"/>
      <c r="O28" s="55"/>
      <c r="P28" s="55"/>
      <c r="Q28" s="55"/>
      <c r="R28" s="55"/>
    </row>
    <row r="29" spans="1:25" ht="22.5" customHeight="1" thickBot="1" x14ac:dyDescent="0.3">
      <c r="A29" s="52"/>
      <c r="B29" s="53" t="s">
        <v>48</v>
      </c>
      <c r="C29" s="54" t="s">
        <v>49</v>
      </c>
      <c r="D29" s="80" t="s">
        <v>50</v>
      </c>
      <c r="E29" s="233" t="s">
        <v>51</v>
      </c>
      <c r="K29" s="55"/>
      <c r="L29" s="55"/>
      <c r="M29" s="55"/>
      <c r="N29" s="55"/>
      <c r="O29" s="55"/>
      <c r="P29" s="55"/>
      <c r="Q29" s="55"/>
      <c r="R29" s="55"/>
    </row>
    <row r="30" spans="1:25" ht="42" customHeight="1" thickBot="1" x14ac:dyDescent="0.3">
      <c r="A30" s="101" t="s">
        <v>52</v>
      </c>
      <c r="B30" s="102" t="e">
        <f>_xlfn.IFNA((Verktøy!M14*(1-HLOOKUP(B4&amp;O6,'Utslippstall modellbygg'!B17:S29,11,FALSE))),"-")-M7</f>
        <v>#VALUE!</v>
      </c>
      <c r="C30" s="103" t="str">
        <f>_xlfn.IFNA(SUM(O8:Q13)*(1-HLOOKUP(B4&amp;O6,'Utslippstall modellbygg'!B17:S29,12,FALSE))+SUM(S8:U13)*(1-'Utslippstall modellbygg'!T28)+SUM(W8:Y13)*(1-'Utslippstall modellbygg'!T28),"-")</f>
        <v>-</v>
      </c>
      <c r="D30" s="104" t="str">
        <f>_xlfn.IFNA((SUM(O8:Q13)*(1-HLOOKUP(B4&amp;O6,'Utslippstall modellbygg'!B17:S29,13,FALSE))+SUM(S8:U13)*(1-'Utslippstall modellbygg'!W29)+SUM(W8:Y13)*(1-'Utslippstall modellbygg'!W29)),"-")</f>
        <v>-</v>
      </c>
      <c r="E30" s="175" t="str">
        <f>IF(C43&gt;0,_xlfn.IFNA((SUM(M8:M13)*(1-C43)),"-"),"")</f>
        <v/>
      </c>
      <c r="K30" s="55"/>
      <c r="L30" s="55"/>
      <c r="M30" s="55"/>
      <c r="N30" s="55"/>
      <c r="O30" s="55"/>
      <c r="P30" s="55"/>
      <c r="Q30" s="55"/>
      <c r="R30" s="55"/>
    </row>
    <row r="31" spans="1:25" ht="18" customHeight="1" thickBot="1" x14ac:dyDescent="0.3">
      <c r="A31" s="267" t="s">
        <v>53</v>
      </c>
      <c r="B31" s="268"/>
      <c r="C31" s="268"/>
      <c r="D31" s="268"/>
      <c r="E31" s="269"/>
      <c r="K31" s="55"/>
      <c r="L31" s="55"/>
      <c r="M31" s="55"/>
      <c r="N31" s="55"/>
      <c r="O31" s="55"/>
      <c r="P31" s="55"/>
      <c r="Q31" s="55"/>
      <c r="R31" s="55"/>
    </row>
    <row r="32" spans="1:25" ht="20.100000000000001" customHeight="1" x14ac:dyDescent="0.25">
      <c r="A32" s="231" t="s">
        <v>54</v>
      </c>
      <c r="B32" s="105" t="e">
        <f>B30/(B5+B6+B7)/60*1000</f>
        <v>#VALUE!</v>
      </c>
      <c r="C32" s="105" t="e">
        <f>C30/(B5+B6+B7)/60*1000</f>
        <v>#VALUE!</v>
      </c>
      <c r="D32" s="106" t="e">
        <f>D30/(B5+B6+B7)/60*1000</f>
        <v>#VALUE!</v>
      </c>
      <c r="E32" s="176" t="str">
        <f>IF(C43&gt;0,E30/(B5+B6+B7)/60*1000,"")</f>
        <v/>
      </c>
      <c r="K32" s="55"/>
      <c r="L32" s="55"/>
      <c r="M32" s="55"/>
      <c r="N32" s="55"/>
      <c r="O32" s="55"/>
      <c r="P32" s="55"/>
      <c r="Q32" s="55"/>
      <c r="R32" s="55"/>
    </row>
    <row r="33" spans="1:18" ht="20.100000000000001" customHeight="1" x14ac:dyDescent="0.25">
      <c r="A33" s="232" t="s">
        <v>55</v>
      </c>
      <c r="B33" s="107" t="e">
        <f>B30/(B10)/60*1000</f>
        <v>#VALUE!</v>
      </c>
      <c r="C33" s="107" t="e">
        <f>C30/(B10)/60*1000</f>
        <v>#VALUE!</v>
      </c>
      <c r="D33" s="108" t="e">
        <f>D30/(B10)/60*1000</f>
        <v>#VALUE!</v>
      </c>
      <c r="E33" s="177" t="str">
        <f>IF(C43&gt;0,E30/(B10)/60*1000,"")</f>
        <v/>
      </c>
      <c r="K33" s="55"/>
      <c r="L33" s="55"/>
      <c r="M33" s="55"/>
      <c r="N33" s="55"/>
      <c r="O33" s="55"/>
      <c r="P33" s="55"/>
      <c r="Q33" s="55"/>
      <c r="R33" s="55"/>
    </row>
    <row r="34" spans="1:18" ht="20.100000000000001" customHeight="1" thickBot="1" x14ac:dyDescent="0.3">
      <c r="A34" s="228" t="s">
        <v>56</v>
      </c>
      <c r="B34" s="234" t="e">
        <f>B30/(B13)/60*1000</f>
        <v>#VALUE!</v>
      </c>
      <c r="C34" s="234" t="e">
        <f>C30/(B13)/60*1000</f>
        <v>#VALUE!</v>
      </c>
      <c r="D34" s="235" t="e">
        <f>D30/(B13)/60*1000</f>
        <v>#VALUE!</v>
      </c>
      <c r="E34" s="178" t="str">
        <f>IF(C43&gt;0,E30/(B13)/60*1000,"")</f>
        <v/>
      </c>
    </row>
    <row r="36" spans="1:18" ht="15.75" x14ac:dyDescent="0.25">
      <c r="A36" s="168" t="s">
        <v>57</v>
      </c>
    </row>
    <row r="38" spans="1:18" ht="17.25" customHeight="1" x14ac:dyDescent="0.25">
      <c r="A38" s="270" t="s">
        <v>58</v>
      </c>
      <c r="B38" s="270"/>
      <c r="C38" s="270"/>
      <c r="D38" s="270" t="s">
        <v>59</v>
      </c>
      <c r="E38" s="270"/>
      <c r="F38" s="270"/>
      <c r="G38" s="270"/>
    </row>
    <row r="39" spans="1:18" ht="15" customHeight="1" x14ac:dyDescent="0.25">
      <c r="A39" s="265" t="s">
        <v>48</v>
      </c>
      <c r="B39" s="265"/>
      <c r="C39" s="159" t="e">
        <f>HLOOKUP(B4&amp;O6,'Utslippstall modellbygg'!B17:S29,11,FALSE)</f>
        <v>#N/A</v>
      </c>
      <c r="D39" s="284" t="s">
        <v>60</v>
      </c>
      <c r="E39" s="284"/>
      <c r="F39" s="284"/>
      <c r="G39" s="284"/>
      <c r="H39" s="55"/>
    </row>
    <row r="40" spans="1:18" x14ac:dyDescent="0.25">
      <c r="A40" s="265" t="s">
        <v>49</v>
      </c>
      <c r="B40" s="265"/>
      <c r="C40" s="159" t="e">
        <f>(SUM(M8:M13)-C30)/SUM(M8:M13)</f>
        <v>#VALUE!</v>
      </c>
      <c r="D40" s="284" t="s">
        <v>62</v>
      </c>
      <c r="E40" s="284"/>
      <c r="F40" s="284"/>
      <c r="G40" s="284"/>
      <c r="H40" s="55"/>
    </row>
    <row r="41" spans="1:18" x14ac:dyDescent="0.25">
      <c r="A41" s="265" t="s">
        <v>50</v>
      </c>
      <c r="B41" s="265"/>
      <c r="C41" s="159" t="e">
        <f>(SUM(M8:M13)-D30)/SUM(M8:M13)</f>
        <v>#VALUE!</v>
      </c>
      <c r="D41" s="284" t="s">
        <v>61</v>
      </c>
      <c r="E41" s="284"/>
      <c r="F41" s="284"/>
      <c r="G41" s="284"/>
      <c r="H41" s="55"/>
    </row>
    <row r="42" spans="1:18" s="170" customFormat="1" x14ac:dyDescent="0.25">
      <c r="A42" s="171"/>
      <c r="B42" s="171"/>
      <c r="C42" s="172"/>
      <c r="D42" s="173"/>
      <c r="E42" s="173"/>
      <c r="F42" s="173"/>
      <c r="G42" s="173"/>
      <c r="H42" s="169"/>
    </row>
    <row r="43" spans="1:18" ht="26.25" customHeight="1" x14ac:dyDescent="0.25">
      <c r="A43" s="266" t="s">
        <v>63</v>
      </c>
      <c r="B43" s="266"/>
      <c r="C43" s="241"/>
      <c r="D43" s="285" t="s">
        <v>64</v>
      </c>
      <c r="E43" s="285"/>
      <c r="F43" s="285"/>
      <c r="G43" s="285"/>
    </row>
    <row r="45" spans="1:18" ht="18.75" x14ac:dyDescent="0.3">
      <c r="A45" s="50" t="s">
        <v>65</v>
      </c>
    </row>
    <row r="47" spans="1:18" x14ac:dyDescent="0.25">
      <c r="A47" s="174"/>
      <c r="B47" s="174"/>
      <c r="C47" s="174"/>
      <c r="D47" s="174"/>
      <c r="E47" s="174"/>
      <c r="F47" s="174"/>
    </row>
    <row r="48" spans="1:18" x14ac:dyDescent="0.25">
      <c r="A48" s="174"/>
      <c r="B48" s="174"/>
      <c r="C48" s="174"/>
      <c r="D48" s="174"/>
      <c r="E48" s="174"/>
      <c r="F48" s="174"/>
    </row>
    <row r="49" spans="1:16" x14ac:dyDescent="0.25">
      <c r="A49" s="174"/>
      <c r="B49" s="174"/>
      <c r="C49" s="174"/>
      <c r="D49" s="174"/>
      <c r="E49" s="174"/>
      <c r="F49" s="174"/>
    </row>
    <row r="50" spans="1:16" ht="15.75" thickBot="1" x14ac:dyDescent="0.3"/>
    <row r="51" spans="1:16" ht="50.25" customHeight="1" thickBot="1" x14ac:dyDescent="0.3">
      <c r="A51" s="248" t="s">
        <v>66</v>
      </c>
      <c r="B51" s="249"/>
      <c r="C51" s="250"/>
    </row>
    <row r="52" spans="1:16" ht="19.5" customHeight="1" thickBot="1" x14ac:dyDescent="0.3">
      <c r="A52" s="179" t="s">
        <v>67</v>
      </c>
      <c r="B52" s="160" t="s">
        <v>68</v>
      </c>
      <c r="C52" s="161" t="s">
        <v>50</v>
      </c>
    </row>
    <row r="53" spans="1:16" x14ac:dyDescent="0.25">
      <c r="A53" s="162" t="s">
        <v>21</v>
      </c>
      <c r="B53" s="163">
        <f>M8</f>
        <v>0</v>
      </c>
      <c r="C53" s="164" t="e">
        <f>SUM(M8:M13)*(1-C41)*HLOOKUP($B$4&amp;"SUM",'Utslippstall modellbygg'!B34:Y41,2,FALSE)/HLOOKUP($B$4&amp;"SUM",'Utslippstall modellbygg'!B34:Y41,8,FALSE)</f>
        <v>#VALUE!</v>
      </c>
    </row>
    <row r="54" spans="1:16" x14ac:dyDescent="0.25">
      <c r="A54" s="165" t="s">
        <v>25</v>
      </c>
      <c r="B54" s="166">
        <f t="shared" ref="B54:B58" si="1">M9</f>
        <v>0</v>
      </c>
      <c r="C54" s="167" t="e">
        <f>SUM(M8:M13)*(1-C41)*HLOOKUP($B$4&amp;"SUM",'Utslippstall modellbygg'!B34:Y41,3,FALSE)/HLOOKUP($B$4&amp;"SUM",'Utslippstall modellbygg'!B34:Y41,8,FALSE)</f>
        <v>#VALUE!</v>
      </c>
    </row>
    <row r="55" spans="1:16" x14ac:dyDescent="0.25">
      <c r="A55" s="165" t="s">
        <v>28</v>
      </c>
      <c r="B55" s="166">
        <f t="shared" si="1"/>
        <v>0</v>
      </c>
      <c r="C55" s="167" t="e">
        <f>SUM(M8:M13)*(1-C41)*HLOOKUP($B$4&amp;"SUM",'Utslippstall modellbygg'!B34:Y41,4,FALSE)/HLOOKUP($B$4&amp;"SUM",'Utslippstall modellbygg'!B34:Y41,8,FALSE)</f>
        <v>#VALUE!</v>
      </c>
    </row>
    <row r="56" spans="1:16" x14ac:dyDescent="0.25">
      <c r="A56" s="165" t="s">
        <v>32</v>
      </c>
      <c r="B56" s="166">
        <f t="shared" si="1"/>
        <v>0</v>
      </c>
      <c r="C56" s="167" t="e">
        <f>SUM(M8:M13)*(1-C41)*HLOOKUP($B$4&amp;"SUM",'Utslippstall modellbygg'!B34:Y41,5,FALSE)/HLOOKUP($B$4&amp;"SUM",'Utslippstall modellbygg'!B34:Y41,8,FALSE)</f>
        <v>#VALUE!</v>
      </c>
    </row>
    <row r="57" spans="1:16" x14ac:dyDescent="0.25">
      <c r="A57" s="165" t="s">
        <v>36</v>
      </c>
      <c r="B57" s="166">
        <f t="shared" si="1"/>
        <v>0</v>
      </c>
      <c r="C57" s="167" t="e">
        <f>SUM(M8:M13)*(1-C41)*HLOOKUP($B$4&amp;"SUM",'Utslippstall modellbygg'!B34:Y41,6,FALSE)/HLOOKUP($B$4&amp;"SUM",'Utslippstall modellbygg'!B34:Y41,8,FALSE)</f>
        <v>#VALUE!</v>
      </c>
    </row>
    <row r="58" spans="1:16" ht="15.75" thickBot="1" x14ac:dyDescent="0.3">
      <c r="A58" s="165" t="s">
        <v>39</v>
      </c>
      <c r="B58" s="166">
        <f t="shared" si="1"/>
        <v>0</v>
      </c>
      <c r="C58" s="167" t="e">
        <f>SUM(M8:M13)*(1-C41)*HLOOKUP($B$4&amp;"SUM",'Utslippstall modellbygg'!B34:Y41,7,FALSE)/HLOOKUP($B$4&amp;"SUM",'Utslippstall modellbygg'!B34:Y41,8,FALSE)</f>
        <v>#VALUE!</v>
      </c>
    </row>
    <row r="59" spans="1:16" ht="15.75" thickBot="1" x14ac:dyDescent="0.3">
      <c r="A59" s="82" t="s">
        <v>69</v>
      </c>
      <c r="B59" s="83">
        <f>SUM(B53:B58)</f>
        <v>0</v>
      </c>
      <c r="C59" s="84" t="e">
        <f>SUM(C53:C58)</f>
        <v>#VALUE!</v>
      </c>
    </row>
    <row r="60" spans="1:16" x14ac:dyDescent="0.25">
      <c r="A60" s="10"/>
      <c r="B60" s="35"/>
    </row>
    <row r="62" spans="1:16" x14ac:dyDescent="0.25">
      <c r="K62" s="56"/>
      <c r="L62" s="56"/>
      <c r="M62" s="56"/>
      <c r="N62" s="56"/>
      <c r="O62" s="56"/>
      <c r="P62" s="56"/>
    </row>
    <row r="64" spans="1:16" ht="15" customHeight="1" x14ac:dyDescent="0.25">
      <c r="E64" s="55"/>
      <c r="F64" s="55"/>
      <c r="G64" s="55"/>
      <c r="H64" s="55"/>
      <c r="I64" s="55"/>
      <c r="J64" s="56"/>
    </row>
    <row r="65" spans="5:10" x14ac:dyDescent="0.25">
      <c r="E65" s="55"/>
      <c r="F65" s="55"/>
      <c r="G65" s="55"/>
      <c r="H65" s="55"/>
      <c r="I65" s="55"/>
      <c r="J65" s="56"/>
    </row>
    <row r="66" spans="5:10" x14ac:dyDescent="0.25">
      <c r="E66" s="55"/>
      <c r="F66" s="55"/>
      <c r="G66" s="55"/>
      <c r="H66" s="55"/>
      <c r="I66" s="55"/>
      <c r="J66" s="56"/>
    </row>
    <row r="67" spans="5:10" x14ac:dyDescent="0.25">
      <c r="E67" s="55"/>
      <c r="F67" s="55"/>
      <c r="G67" s="55"/>
      <c r="H67" s="55"/>
      <c r="I67" s="55"/>
      <c r="J67" s="56"/>
    </row>
    <row r="68" spans="5:10" x14ac:dyDescent="0.25">
      <c r="E68" s="55"/>
      <c r="F68" s="55"/>
      <c r="G68" s="55"/>
      <c r="H68" s="55"/>
      <c r="I68" s="55"/>
      <c r="J68" s="56"/>
    </row>
    <row r="69" spans="5:10" x14ac:dyDescent="0.25">
      <c r="E69" s="55"/>
      <c r="F69" s="55"/>
      <c r="G69" s="55"/>
      <c r="H69" s="55"/>
      <c r="I69" s="55"/>
      <c r="J69" s="56"/>
    </row>
    <row r="70" spans="5:10" x14ac:dyDescent="0.25">
      <c r="E70" s="55"/>
      <c r="F70" s="55"/>
      <c r="G70" s="55"/>
      <c r="H70" s="55"/>
      <c r="I70" s="55"/>
      <c r="J70" s="56"/>
    </row>
    <row r="71" spans="5:10" x14ac:dyDescent="0.25">
      <c r="E71" s="56"/>
      <c r="F71" s="56"/>
      <c r="G71" s="56"/>
      <c r="H71" s="56"/>
      <c r="I71" s="56"/>
      <c r="J71" s="56"/>
    </row>
    <row r="72" spans="5:10" x14ac:dyDescent="0.25">
      <c r="E72" s="56"/>
      <c r="F72" s="56"/>
      <c r="G72" s="56"/>
      <c r="H72" s="56"/>
      <c r="I72" s="56"/>
      <c r="J72" s="56"/>
    </row>
    <row r="73" spans="5:10" x14ac:dyDescent="0.25">
      <c r="E73" s="56"/>
      <c r="F73" s="56"/>
      <c r="G73" s="56"/>
      <c r="H73" s="56"/>
      <c r="I73" s="56"/>
      <c r="J73" s="56"/>
    </row>
  </sheetData>
  <sheetProtection algorithmName="SHA-512" hashValue="RAjlq/sNfsUF5UUADgbeXBAMFlSGpgQPQJJn/6wTm2o+04rM01ZxjWr82imQOIS1bFDfcKamKxKJRjLRqWalBA==" saltValue="iySZfDGgR3lJatZq6rg9gg==" spinCount="100000" sheet="1" objects="1" scenarios="1" formatCells="0"/>
  <protectedRanges>
    <protectedRange sqref="B4:C4" name="Område1"/>
  </protectedRanges>
  <mergeCells count="37">
    <mergeCell ref="A21:C24"/>
    <mergeCell ref="D21:D22"/>
    <mergeCell ref="E21:G22"/>
    <mergeCell ref="D23:D24"/>
    <mergeCell ref="E23:G24"/>
    <mergeCell ref="D12:F12"/>
    <mergeCell ref="D41:G41"/>
    <mergeCell ref="D39:G39"/>
    <mergeCell ref="D40:G40"/>
    <mergeCell ref="D43:G43"/>
    <mergeCell ref="D38:G38"/>
    <mergeCell ref="D3:G3"/>
    <mergeCell ref="A3:C3"/>
    <mergeCell ref="D9:F9"/>
    <mergeCell ref="D10:F10"/>
    <mergeCell ref="D11:F11"/>
    <mergeCell ref="D8:F8"/>
    <mergeCell ref="B4:C4"/>
    <mergeCell ref="D5:F5"/>
    <mergeCell ref="D6:F6"/>
    <mergeCell ref="D7:F7"/>
    <mergeCell ref="A51:C51"/>
    <mergeCell ref="I1:Y1"/>
    <mergeCell ref="O17:Q17"/>
    <mergeCell ref="O5:Q5"/>
    <mergeCell ref="S5:U5"/>
    <mergeCell ref="S17:U17"/>
    <mergeCell ref="W5:Y5"/>
    <mergeCell ref="W17:Y17"/>
    <mergeCell ref="A27:E28"/>
    <mergeCell ref="I5:M5"/>
    <mergeCell ref="A39:B39"/>
    <mergeCell ref="A40:B40"/>
    <mergeCell ref="A41:B41"/>
    <mergeCell ref="A43:B43"/>
    <mergeCell ref="A31:E31"/>
    <mergeCell ref="A38:C38"/>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Nedtrekksmenyer!$A$1:$A$7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2"/>
  <sheetViews>
    <sheetView showGridLines="0" workbookViewId="0">
      <selection activeCell="G18" sqref="G18"/>
    </sheetView>
  </sheetViews>
  <sheetFormatPr baseColWidth="10" defaultColWidth="9.140625" defaultRowHeight="15" x14ac:dyDescent="0.25"/>
  <cols>
    <col min="1" max="1" width="23.85546875" bestFit="1" customWidth="1"/>
    <col min="27" max="27" width="8.85546875" customWidth="1"/>
    <col min="28" max="28" width="9.140625" customWidth="1"/>
    <col min="30" max="30" width="8.5703125" customWidth="1"/>
  </cols>
  <sheetData>
    <row r="1" spans="1:33" ht="18.75" x14ac:dyDescent="0.3">
      <c r="A1" s="50" t="s">
        <v>70</v>
      </c>
    </row>
    <row r="14" spans="1:33" ht="15.75" thickBot="1" x14ac:dyDescent="0.3"/>
    <row r="15" spans="1:33" x14ac:dyDescent="0.25">
      <c r="A15" s="31" t="s">
        <v>71</v>
      </c>
      <c r="B15" s="306" t="s">
        <v>3</v>
      </c>
      <c r="C15" s="307"/>
      <c r="D15" s="309"/>
      <c r="E15" s="306" t="s">
        <v>72</v>
      </c>
      <c r="F15" s="307"/>
      <c r="G15" s="309"/>
      <c r="H15" s="306" t="s">
        <v>73</v>
      </c>
      <c r="I15" s="307"/>
      <c r="J15" s="309"/>
      <c r="K15" s="306" t="s">
        <v>74</v>
      </c>
      <c r="L15" s="307"/>
      <c r="M15" s="309"/>
      <c r="N15" s="306" t="s">
        <v>75</v>
      </c>
      <c r="O15" s="307"/>
      <c r="P15" s="309"/>
      <c r="Q15" s="306" t="s">
        <v>76</v>
      </c>
      <c r="R15" s="307"/>
      <c r="S15" s="309"/>
      <c r="T15" s="306" t="s">
        <v>77</v>
      </c>
      <c r="U15" s="307"/>
      <c r="V15" s="308"/>
      <c r="W15" s="306" t="s">
        <v>78</v>
      </c>
      <c r="X15" s="307"/>
      <c r="Y15" s="309"/>
      <c r="AA15" s="306" t="s">
        <v>79</v>
      </c>
      <c r="AB15" s="307"/>
      <c r="AC15" s="307"/>
      <c r="AD15" s="307"/>
      <c r="AE15" s="307"/>
      <c r="AF15" s="307"/>
      <c r="AG15" s="309"/>
    </row>
    <row r="16" spans="1:33" ht="15.75" thickBot="1" x14ac:dyDescent="0.3">
      <c r="A16" t="s">
        <v>80</v>
      </c>
      <c r="B16" s="5" t="s">
        <v>11</v>
      </c>
      <c r="C16" s="6" t="s">
        <v>12</v>
      </c>
      <c r="D16" s="7" t="s">
        <v>13</v>
      </c>
      <c r="E16" s="5" t="s">
        <v>11</v>
      </c>
      <c r="F16" s="6" t="s">
        <v>12</v>
      </c>
      <c r="G16" s="7" t="s">
        <v>13</v>
      </c>
      <c r="H16" s="5" t="s">
        <v>11</v>
      </c>
      <c r="I16" s="6" t="s">
        <v>12</v>
      </c>
      <c r="J16" s="7" t="s">
        <v>13</v>
      </c>
      <c r="K16" s="5" t="s">
        <v>11</v>
      </c>
      <c r="L16" s="6" t="s">
        <v>12</v>
      </c>
      <c r="M16" s="7" t="s">
        <v>13</v>
      </c>
      <c r="N16" s="5" t="s">
        <v>11</v>
      </c>
      <c r="O16" s="6" t="s">
        <v>12</v>
      </c>
      <c r="P16" s="7" t="s">
        <v>13</v>
      </c>
      <c r="Q16" s="5" t="s">
        <v>11</v>
      </c>
      <c r="R16" s="6" t="s">
        <v>12</v>
      </c>
      <c r="S16" s="7" t="s">
        <v>13</v>
      </c>
      <c r="T16" s="5" t="s">
        <v>11</v>
      </c>
      <c r="U16" s="6" t="s">
        <v>12</v>
      </c>
      <c r="V16" s="11" t="s">
        <v>13</v>
      </c>
      <c r="W16" s="12" t="s">
        <v>11</v>
      </c>
      <c r="X16" s="13" t="s">
        <v>12</v>
      </c>
      <c r="Y16" s="14" t="s">
        <v>13</v>
      </c>
      <c r="AA16" s="5" t="s">
        <v>81</v>
      </c>
      <c r="AB16" s="6"/>
      <c r="AC16" s="6" t="s">
        <v>11</v>
      </c>
      <c r="AD16" s="6" t="s">
        <v>12</v>
      </c>
      <c r="AE16" s="322" t="s">
        <v>82</v>
      </c>
      <c r="AF16" s="322"/>
      <c r="AG16" s="323"/>
    </row>
    <row r="17" spans="1:33" ht="18.75" hidden="1" customHeight="1" thickBot="1" x14ac:dyDescent="0.3">
      <c r="A17" t="s">
        <v>83</v>
      </c>
      <c r="B17" s="2" t="str">
        <f>B15&amp;B16</f>
        <v>KontorbyggA1-A3</v>
      </c>
      <c r="C17" s="3" t="str">
        <f>B15&amp;C16</f>
        <v>KontorbyggA4</v>
      </c>
      <c r="D17" s="4" t="str">
        <f>B15&amp;D16</f>
        <v>KontorbyggB4-B5</v>
      </c>
      <c r="E17" s="2" t="str">
        <f>E15&amp;E16</f>
        <v>BoligblokkA1-A3</v>
      </c>
      <c r="F17" s="3" t="str">
        <f>E15&amp;F16</f>
        <v>BoligblokkA4</v>
      </c>
      <c r="G17" s="4" t="str">
        <f>E15&amp;G16</f>
        <v>BoligblokkB4-B5</v>
      </c>
      <c r="H17" s="2" t="str">
        <f t="shared" ref="H17" si="0">H15&amp;H16</f>
        <v>SkolebyggA1-A3</v>
      </c>
      <c r="I17" s="3" t="str">
        <f>H15&amp;I16</f>
        <v>SkolebyggA4</v>
      </c>
      <c r="J17" s="4" t="str">
        <f>H15&amp;J16</f>
        <v>SkolebyggB4-B5</v>
      </c>
      <c r="K17" s="2" t="str">
        <f>K15&amp;K16</f>
        <v>Forretning/næringsbyggA1-A3</v>
      </c>
      <c r="L17" s="3" t="str">
        <f>K15&amp;L16</f>
        <v>Forretning/næringsbyggA4</v>
      </c>
      <c r="M17" s="4" t="str">
        <f>K15&amp;M16</f>
        <v>Forretning/næringsbyggB4-B5</v>
      </c>
      <c r="N17" s="2" t="str">
        <f>N15&amp;N16</f>
        <v>SykehjemA1-A3</v>
      </c>
      <c r="O17" s="3" t="str">
        <f>N15&amp;O16</f>
        <v>SykehjemA4</v>
      </c>
      <c r="P17" s="4" t="str">
        <f>N15&amp;P16</f>
        <v>SykehjemB4-B5</v>
      </c>
      <c r="Q17" s="2" t="str">
        <f>Q15&amp;Q16</f>
        <v>SmåhusA1-A3</v>
      </c>
      <c r="R17" s="3" t="str">
        <f>Q15&amp;R16</f>
        <v>SmåhusA4</v>
      </c>
      <c r="S17" s="4" t="str">
        <f>Q15&amp;S16</f>
        <v>SmåhusB4-B5</v>
      </c>
      <c r="T17" s="2"/>
      <c r="U17" s="3"/>
      <c r="V17" s="4"/>
      <c r="W17" s="2"/>
      <c r="X17" s="3"/>
      <c r="Y17" s="4"/>
      <c r="AA17" s="38"/>
      <c r="AB17" s="38"/>
      <c r="AC17" s="38"/>
      <c r="AD17" s="38"/>
      <c r="AE17" s="38"/>
      <c r="AF17" s="38"/>
      <c r="AG17" s="38"/>
    </row>
    <row r="18" spans="1:33" x14ac:dyDescent="0.25">
      <c r="A18" t="s">
        <v>21</v>
      </c>
      <c r="B18" s="180">
        <v>47.4</v>
      </c>
      <c r="C18" s="181">
        <v>6.02</v>
      </c>
      <c r="D18" s="182">
        <v>0</v>
      </c>
      <c r="E18" s="183">
        <v>58.827505070993915</v>
      </c>
      <c r="F18" s="184">
        <f>F24*E18/$E$24</f>
        <v>11.337761834278796</v>
      </c>
      <c r="G18" s="185">
        <v>0</v>
      </c>
      <c r="H18" s="181">
        <v>60.133348222381322</v>
      </c>
      <c r="I18" s="184">
        <f>I24*H18/$H$24</f>
        <v>9.5423446618180403</v>
      </c>
      <c r="J18" s="181">
        <v>0</v>
      </c>
      <c r="K18" s="183">
        <v>23.106213025348303</v>
      </c>
      <c r="L18" s="184">
        <f>L24*K18/$K$24</f>
        <v>4.2216135100676064</v>
      </c>
      <c r="M18" s="185">
        <v>0</v>
      </c>
      <c r="N18" s="181">
        <v>57.638960937500002</v>
      </c>
      <c r="O18" s="184">
        <f>O24*N18/$N$24</f>
        <v>9.668542020676453</v>
      </c>
      <c r="P18" s="181">
        <v>0</v>
      </c>
      <c r="Q18" s="183">
        <v>8.7428795811518327</v>
      </c>
      <c r="R18" s="184">
        <f>R24*Q18/$Q$24</f>
        <v>1.8277588766465911</v>
      </c>
      <c r="S18" s="185">
        <v>0</v>
      </c>
      <c r="T18" s="181">
        <v>27.2</v>
      </c>
      <c r="U18" s="181">
        <v>2.04</v>
      </c>
      <c r="V18" s="182">
        <v>0</v>
      </c>
      <c r="W18" s="180">
        <v>27.1805709639161</v>
      </c>
      <c r="X18" s="184">
        <f>X24*W18/$W$24</f>
        <v>3.4133899756974415</v>
      </c>
      <c r="Y18" s="182">
        <v>0</v>
      </c>
      <c r="AA18" s="310" t="s">
        <v>84</v>
      </c>
      <c r="AB18" s="311"/>
      <c r="AC18" s="39">
        <v>4.1100000000000003</v>
      </c>
      <c r="AD18" s="39">
        <v>0.48</v>
      </c>
      <c r="AE18" s="220" t="s">
        <v>85</v>
      </c>
      <c r="AF18" s="220"/>
      <c r="AG18" s="40"/>
    </row>
    <row r="19" spans="1:33" x14ac:dyDescent="0.25">
      <c r="A19" t="s">
        <v>25</v>
      </c>
      <c r="B19" s="180">
        <v>46.8</v>
      </c>
      <c r="C19" s="181">
        <v>11.7</v>
      </c>
      <c r="D19" s="182">
        <v>31.82</v>
      </c>
      <c r="E19" s="180">
        <v>52.094140862420318</v>
      </c>
      <c r="F19" s="181">
        <f>$F$24*E19/$E$24</f>
        <v>10.040047786264441</v>
      </c>
      <c r="G19" s="182">
        <v>15.324153366853741</v>
      </c>
      <c r="H19" s="181">
        <v>42.342298519953452</v>
      </c>
      <c r="I19" s="181">
        <f>$I$24*H19/$H$24</f>
        <v>6.7191469990457033</v>
      </c>
      <c r="J19" s="181">
        <v>31.021912440370759</v>
      </c>
      <c r="K19" s="180">
        <v>46.383785952741881</v>
      </c>
      <c r="L19" s="181">
        <f>$L$24*K19/$K$24</f>
        <v>8.4745352780814454</v>
      </c>
      <c r="M19" s="182">
        <v>29.675231941480437</v>
      </c>
      <c r="N19" s="181">
        <v>46.160036204575476</v>
      </c>
      <c r="O19" s="181">
        <f>$O$24*N19/$N$24</f>
        <v>7.7430307982793751</v>
      </c>
      <c r="P19" s="181">
        <v>9.0472214471726211</v>
      </c>
      <c r="Q19" s="180">
        <v>43.468632837417928</v>
      </c>
      <c r="R19" s="181">
        <f>$R$24*Q19/$Q$24</f>
        <v>9.0874155118827495</v>
      </c>
      <c r="S19" s="182">
        <v>26.654957380668147</v>
      </c>
      <c r="T19" s="181">
        <v>49.5</v>
      </c>
      <c r="U19" s="181">
        <v>4.24</v>
      </c>
      <c r="V19" s="182">
        <v>0</v>
      </c>
      <c r="W19" s="180">
        <v>54.108763003654161</v>
      </c>
      <c r="X19" s="181">
        <f>$X$24*W19/$W$24</f>
        <v>6.7950857058615473</v>
      </c>
      <c r="Y19" s="182">
        <v>0</v>
      </c>
      <c r="AA19" s="312" t="s">
        <v>86</v>
      </c>
      <c r="AB19" s="313"/>
      <c r="AC19" s="37">
        <v>0.11</v>
      </c>
      <c r="AD19" s="37">
        <v>8.0000000000000002E-3</v>
      </c>
      <c r="AE19" s="327" t="s">
        <v>85</v>
      </c>
      <c r="AF19" s="328"/>
      <c r="AG19" s="329"/>
    </row>
    <row r="20" spans="1:33" ht="15.75" thickBot="1" x14ac:dyDescent="0.3">
      <c r="A20" t="s">
        <v>28</v>
      </c>
      <c r="B20" s="180">
        <v>32.299999999999997</v>
      </c>
      <c r="C20" s="181">
        <v>2.97</v>
      </c>
      <c r="D20" s="182">
        <v>8.17</v>
      </c>
      <c r="E20" s="180">
        <v>70.606177050191576</v>
      </c>
      <c r="F20" s="181">
        <f t="shared" ref="F20:F23" si="1">$F$24*E20/$E$24</f>
        <v>13.607852627064821</v>
      </c>
      <c r="G20" s="182">
        <v>30.429887982678409</v>
      </c>
      <c r="H20" s="181">
        <v>21.759907766396513</v>
      </c>
      <c r="I20" s="181">
        <f t="shared" ref="I20:I23" si="2">$I$24*H20/$H$24</f>
        <v>3.4530014684770864</v>
      </c>
      <c r="J20" s="181">
        <v>8.8009886831332373</v>
      </c>
      <c r="K20" s="180">
        <v>18.296522525750923</v>
      </c>
      <c r="L20" s="181">
        <f t="shared" ref="L20:L23" si="3">$L$24*K20/$K$24</f>
        <v>3.3428604937222102</v>
      </c>
      <c r="M20" s="182">
        <v>4.1881879708074514</v>
      </c>
      <c r="N20" s="181">
        <v>34.337844795841917</v>
      </c>
      <c r="O20" s="181">
        <f t="shared" ref="O20:O23" si="4">$O$24*N20/$N$24</f>
        <v>5.759938935541534</v>
      </c>
      <c r="P20" s="181">
        <v>17.928552843821397</v>
      </c>
      <c r="Q20" s="180">
        <v>24.869545276689202</v>
      </c>
      <c r="R20" s="181">
        <f t="shared" ref="R20:R23" si="5">$R$24*Q20/$Q$24</f>
        <v>5.1991488291371892</v>
      </c>
      <c r="S20" s="182">
        <v>27.030644960365727</v>
      </c>
      <c r="T20" s="181">
        <v>41.2</v>
      </c>
      <c r="U20" s="181">
        <v>2.97</v>
      </c>
      <c r="V20" s="182">
        <v>0.96000000000000008</v>
      </c>
      <c r="W20" s="180">
        <v>4.1174019742196037</v>
      </c>
      <c r="X20" s="181">
        <f t="shared" ref="X20:X23" si="6">$X$24*W20/$W$24</f>
        <v>0.51707150093999155</v>
      </c>
      <c r="Y20" s="182">
        <v>2.0235703432056602E-3</v>
      </c>
      <c r="AA20" s="314" t="s">
        <v>87</v>
      </c>
      <c r="AB20" s="315"/>
      <c r="AC20" s="6">
        <v>66</v>
      </c>
      <c r="AD20" s="6">
        <v>3.98</v>
      </c>
      <c r="AE20" s="324" t="s">
        <v>88</v>
      </c>
      <c r="AF20" s="325"/>
      <c r="AG20" s="326"/>
    </row>
    <row r="21" spans="1:33" x14ac:dyDescent="0.25">
      <c r="A21" t="s">
        <v>32</v>
      </c>
      <c r="B21" s="180">
        <v>97.1</v>
      </c>
      <c r="C21" s="181">
        <v>14</v>
      </c>
      <c r="D21" s="182">
        <v>60.540000000000006</v>
      </c>
      <c r="E21" s="180">
        <v>94.497211661975115</v>
      </c>
      <c r="F21" s="181">
        <f t="shared" si="1"/>
        <v>18.212346053668959</v>
      </c>
      <c r="G21" s="182">
        <v>20.83384246112238</v>
      </c>
      <c r="H21" s="181">
        <v>83.192280834443551</v>
      </c>
      <c r="I21" s="181">
        <f t="shared" si="2"/>
        <v>13.201483708993823</v>
      </c>
      <c r="J21" s="181">
        <v>13.076221281974089</v>
      </c>
      <c r="K21" s="180">
        <v>100.85809596865917</v>
      </c>
      <c r="L21" s="181">
        <f t="shared" si="3"/>
        <v>18.427247254835198</v>
      </c>
      <c r="M21" s="182">
        <v>29.435792934654401</v>
      </c>
      <c r="N21" s="181">
        <v>91.353400105965477</v>
      </c>
      <c r="O21" s="181">
        <f t="shared" si="4"/>
        <v>15.323908920112912</v>
      </c>
      <c r="P21" s="181">
        <v>23.582525520833332</v>
      </c>
      <c r="Q21" s="180">
        <v>50.211337908772492</v>
      </c>
      <c r="R21" s="181">
        <f t="shared" si="5"/>
        <v>10.49702420343408</v>
      </c>
      <c r="S21" s="182">
        <v>19.077741710296685</v>
      </c>
      <c r="T21" s="181">
        <v>111</v>
      </c>
      <c r="U21" s="181">
        <v>18.399999999999999</v>
      </c>
      <c r="V21" s="182">
        <v>55.85</v>
      </c>
      <c r="W21" s="180">
        <v>99.679535310335552</v>
      </c>
      <c r="X21" s="181">
        <f t="shared" si="6"/>
        <v>12.517953617022068</v>
      </c>
      <c r="Y21" s="182">
        <v>0.11976010918179428</v>
      </c>
    </row>
    <row r="22" spans="1:33" x14ac:dyDescent="0.25">
      <c r="A22" t="s">
        <v>36</v>
      </c>
      <c r="B22" s="180">
        <v>36</v>
      </c>
      <c r="C22" s="181">
        <v>4.51</v>
      </c>
      <c r="D22" s="182">
        <v>3.53</v>
      </c>
      <c r="E22" s="180">
        <v>36.400860245003472</v>
      </c>
      <c r="F22" s="181">
        <f t="shared" si="1"/>
        <v>7.0154986774070904</v>
      </c>
      <c r="G22" s="182">
        <v>10.774409736308316</v>
      </c>
      <c r="H22" s="181">
        <v>54.545969715100441</v>
      </c>
      <c r="I22" s="181">
        <f t="shared" si="2"/>
        <v>8.6557036706106967</v>
      </c>
      <c r="J22" s="181">
        <v>16.145240726124705</v>
      </c>
      <c r="K22" s="180">
        <v>36.363976251482889</v>
      </c>
      <c r="L22" s="181">
        <f t="shared" si="3"/>
        <v>6.6438690431282259</v>
      </c>
      <c r="M22" s="182">
        <v>10.763493630573247</v>
      </c>
      <c r="N22" s="181">
        <v>54.545967958782235</v>
      </c>
      <c r="O22" s="181">
        <f t="shared" si="4"/>
        <v>9.1497135737719937</v>
      </c>
      <c r="P22" s="181">
        <v>16.145240625</v>
      </c>
      <c r="Q22" s="180">
        <v>15.900628272251309</v>
      </c>
      <c r="R22" s="181">
        <f t="shared" si="5"/>
        <v>3.3241352804994522</v>
      </c>
      <c r="S22" s="182">
        <v>0</v>
      </c>
      <c r="T22" s="181">
        <v>0</v>
      </c>
      <c r="U22" s="181">
        <v>0</v>
      </c>
      <c r="V22" s="182">
        <v>0</v>
      </c>
      <c r="W22" s="180">
        <v>0</v>
      </c>
      <c r="X22" s="181">
        <f t="shared" si="6"/>
        <v>0</v>
      </c>
      <c r="Y22" s="182">
        <v>0</v>
      </c>
    </row>
    <row r="23" spans="1:33" ht="15.75" thickBot="1" x14ac:dyDescent="0.3">
      <c r="A23" t="s">
        <v>39</v>
      </c>
      <c r="B23" s="180">
        <v>1.49</v>
      </c>
      <c r="C23" s="181">
        <v>0.11</v>
      </c>
      <c r="D23" s="182">
        <v>0</v>
      </c>
      <c r="E23" s="186">
        <v>10.276720126082362</v>
      </c>
      <c r="F23" s="181">
        <f t="shared" si="1"/>
        <v>1.9806212261840668</v>
      </c>
      <c r="G23" s="187">
        <v>0</v>
      </c>
      <c r="H23" s="181">
        <v>0.69794310874181476</v>
      </c>
      <c r="I23" s="181">
        <f t="shared" si="2"/>
        <v>0.11075408063634683</v>
      </c>
      <c r="J23" s="181">
        <v>0</v>
      </c>
      <c r="K23" s="180">
        <v>0.7493382663531587</v>
      </c>
      <c r="L23" s="181">
        <f t="shared" si="3"/>
        <v>0.13690761637905607</v>
      </c>
      <c r="M23" s="182">
        <v>0</v>
      </c>
      <c r="N23" s="181">
        <v>1.2868382879879114</v>
      </c>
      <c r="O23" s="181">
        <f t="shared" si="4"/>
        <v>0.21585833364896384</v>
      </c>
      <c r="P23" s="181">
        <v>0</v>
      </c>
      <c r="Q23" s="186">
        <v>0.88261780104712062</v>
      </c>
      <c r="R23" s="188">
        <f t="shared" si="5"/>
        <v>0.18451729839994396</v>
      </c>
      <c r="S23" s="187">
        <v>0.79450261780104714</v>
      </c>
      <c r="T23" s="181">
        <v>0.68</v>
      </c>
      <c r="U23" s="181">
        <v>0.05</v>
      </c>
      <c r="V23" s="182">
        <v>0</v>
      </c>
      <c r="W23" s="180">
        <v>0.67606472322914501</v>
      </c>
      <c r="X23" s="181">
        <f t="shared" si="6"/>
        <v>8.4901547957053874E-2</v>
      </c>
      <c r="Y23" s="182">
        <v>0</v>
      </c>
    </row>
    <row r="24" spans="1:33" ht="15.75" thickBot="1" x14ac:dyDescent="0.3">
      <c r="A24" t="s">
        <v>40</v>
      </c>
      <c r="B24" s="189">
        <f t="shared" ref="B24:D24" si="7">SUM(B18:B23)</f>
        <v>261.08999999999997</v>
      </c>
      <c r="C24" s="190">
        <f t="shared" si="7"/>
        <v>39.309999999999995</v>
      </c>
      <c r="D24" s="190">
        <f t="shared" si="7"/>
        <v>104.06</v>
      </c>
      <c r="E24" s="189">
        <v>322.70261501666675</v>
      </c>
      <c r="F24" s="190">
        <v>62.194128204868171</v>
      </c>
      <c r="G24" s="191">
        <v>77.362293546962846</v>
      </c>
      <c r="H24" s="189">
        <v>262.67174816701709</v>
      </c>
      <c r="I24" s="190">
        <v>41.682434589581696</v>
      </c>
      <c r="J24" s="191">
        <v>69.044363131602793</v>
      </c>
      <c r="K24" s="189">
        <v>225.75793199033632</v>
      </c>
      <c r="L24" s="190">
        <v>41.247033196213742</v>
      </c>
      <c r="M24" s="191">
        <v>74.062706477515533</v>
      </c>
      <c r="N24" s="189">
        <v>285.32304829065305</v>
      </c>
      <c r="O24" s="190">
        <v>47.860992582031237</v>
      </c>
      <c r="P24" s="191">
        <v>66.703540436827339</v>
      </c>
      <c r="Q24" s="188">
        <v>144.07564167732986</v>
      </c>
      <c r="R24" s="188">
        <v>30.12</v>
      </c>
      <c r="S24" s="188">
        <v>73.557846669131607</v>
      </c>
      <c r="T24" s="189">
        <f>SUM(T18:T23)</f>
        <v>229.58</v>
      </c>
      <c r="U24" s="190">
        <f>SUM(U18:U23)</f>
        <v>27.7</v>
      </c>
      <c r="V24" s="191">
        <f>SUM(V18:V23)</f>
        <v>56.81</v>
      </c>
      <c r="W24" s="190">
        <v>185.76233597535463</v>
      </c>
      <c r="X24" s="190">
        <v>23.328402347478111</v>
      </c>
      <c r="Y24" s="191">
        <v>0.12178367952499994</v>
      </c>
    </row>
    <row r="25" spans="1:33" ht="15.75" thickBot="1" x14ac:dyDescent="0.3">
      <c r="E25" s="10"/>
    </row>
    <row r="26" spans="1:33" x14ac:dyDescent="0.25">
      <c r="A26" s="192" t="s">
        <v>89</v>
      </c>
      <c r="B26" s="306" t="s">
        <v>3</v>
      </c>
      <c r="C26" s="307"/>
      <c r="D26" s="309"/>
      <c r="E26" s="306" t="s">
        <v>72</v>
      </c>
      <c r="F26" s="307"/>
      <c r="G26" s="309"/>
      <c r="H26" s="306" t="s">
        <v>73</v>
      </c>
      <c r="I26" s="307"/>
      <c r="J26" s="309"/>
      <c r="K26" s="306" t="s">
        <v>74</v>
      </c>
      <c r="L26" s="307"/>
      <c r="M26" s="309"/>
      <c r="N26" s="306" t="s">
        <v>75</v>
      </c>
      <c r="O26" s="307"/>
      <c r="P26" s="309"/>
      <c r="Q26" s="330" t="s">
        <v>76</v>
      </c>
      <c r="R26" s="307"/>
      <c r="S26" s="309"/>
      <c r="T26" s="306" t="s">
        <v>77</v>
      </c>
      <c r="U26" s="307"/>
      <c r="V26" s="308"/>
      <c r="W26" s="306" t="s">
        <v>78</v>
      </c>
      <c r="X26" s="307"/>
      <c r="Y26" s="309"/>
    </row>
    <row r="27" spans="1:33" x14ac:dyDescent="0.25">
      <c r="A27" s="29" t="s">
        <v>48</v>
      </c>
      <c r="B27" s="321">
        <v>0</v>
      </c>
      <c r="C27" s="319"/>
      <c r="D27" s="320"/>
      <c r="E27" s="321">
        <v>0</v>
      </c>
      <c r="F27" s="319"/>
      <c r="G27" s="320"/>
      <c r="H27" s="321">
        <v>0</v>
      </c>
      <c r="I27" s="319"/>
      <c r="J27" s="320"/>
      <c r="K27" s="321">
        <v>0</v>
      </c>
      <c r="L27" s="319"/>
      <c r="M27" s="320"/>
      <c r="N27" s="321">
        <v>0</v>
      </c>
      <c r="O27" s="319"/>
      <c r="P27" s="320"/>
      <c r="Q27" s="319">
        <v>0</v>
      </c>
      <c r="R27" s="319"/>
      <c r="S27" s="320"/>
      <c r="T27" s="332">
        <v>0</v>
      </c>
      <c r="U27" s="333"/>
      <c r="V27" s="333"/>
      <c r="W27" s="332">
        <v>0</v>
      </c>
      <c r="X27" s="333"/>
      <c r="Y27" s="334"/>
    </row>
    <row r="28" spans="1:33" x14ac:dyDescent="0.25">
      <c r="A28" s="29" t="s">
        <v>49</v>
      </c>
      <c r="B28" s="321">
        <v>0.2</v>
      </c>
      <c r="C28" s="319"/>
      <c r="D28" s="320"/>
      <c r="E28" s="321">
        <v>0.2</v>
      </c>
      <c r="F28" s="319"/>
      <c r="G28" s="320"/>
      <c r="H28" s="321">
        <v>0.2</v>
      </c>
      <c r="I28" s="319"/>
      <c r="J28" s="320"/>
      <c r="K28" s="321">
        <v>0.2</v>
      </c>
      <c r="L28" s="319"/>
      <c r="M28" s="320"/>
      <c r="N28" s="321">
        <v>0.2</v>
      </c>
      <c r="O28" s="319"/>
      <c r="P28" s="320"/>
      <c r="Q28" s="319">
        <v>0.15</v>
      </c>
      <c r="R28" s="319"/>
      <c r="S28" s="320"/>
      <c r="T28" s="321">
        <v>0.25</v>
      </c>
      <c r="U28" s="319"/>
      <c r="V28" s="319"/>
      <c r="W28" s="321">
        <v>0.25</v>
      </c>
      <c r="X28" s="319"/>
      <c r="Y28" s="320"/>
    </row>
    <row r="29" spans="1:33" ht="15.75" thickBot="1" x14ac:dyDescent="0.3">
      <c r="A29" s="30" t="s">
        <v>50</v>
      </c>
      <c r="B29" s="316">
        <v>0.4</v>
      </c>
      <c r="C29" s="317"/>
      <c r="D29" s="318"/>
      <c r="E29" s="316">
        <v>0.4</v>
      </c>
      <c r="F29" s="317"/>
      <c r="G29" s="318"/>
      <c r="H29" s="316">
        <v>0.4</v>
      </c>
      <c r="I29" s="317"/>
      <c r="J29" s="318"/>
      <c r="K29" s="316">
        <v>0.35</v>
      </c>
      <c r="L29" s="317"/>
      <c r="M29" s="318"/>
      <c r="N29" s="316">
        <v>0.3</v>
      </c>
      <c r="O29" s="317"/>
      <c r="P29" s="318"/>
      <c r="Q29" s="317">
        <v>0.25</v>
      </c>
      <c r="R29" s="317"/>
      <c r="S29" s="318"/>
      <c r="T29" s="316">
        <v>0.5</v>
      </c>
      <c r="U29" s="317"/>
      <c r="V29" s="317"/>
      <c r="W29" s="316">
        <v>0.5</v>
      </c>
      <c r="X29" s="317"/>
      <c r="Y29" s="318"/>
    </row>
    <row r="31" spans="1:33" ht="15.75" thickBot="1" x14ac:dyDescent="0.3"/>
    <row r="32" spans="1:33" ht="15.75" thickBot="1" x14ac:dyDescent="0.3">
      <c r="A32" s="31" t="s">
        <v>90</v>
      </c>
      <c r="B32" s="303" t="s">
        <v>3</v>
      </c>
      <c r="C32" s="304"/>
      <c r="D32" s="304"/>
      <c r="E32" s="305"/>
      <c r="F32" s="303" t="s">
        <v>72</v>
      </c>
      <c r="G32" s="304"/>
      <c r="H32" s="304"/>
      <c r="I32" s="305"/>
      <c r="J32" s="303" t="s">
        <v>73</v>
      </c>
      <c r="K32" s="304"/>
      <c r="L32" s="304"/>
      <c r="M32" s="305"/>
      <c r="N32" s="303" t="s">
        <v>74</v>
      </c>
      <c r="O32" s="304"/>
      <c r="P32" s="304"/>
      <c r="Q32" s="305"/>
      <c r="R32" s="303" t="s">
        <v>75</v>
      </c>
      <c r="S32" s="304"/>
      <c r="T32" s="304"/>
      <c r="U32" s="305"/>
      <c r="V32" s="303" t="s">
        <v>76</v>
      </c>
      <c r="W32" s="304"/>
      <c r="X32" s="304"/>
      <c r="Y32" s="305"/>
    </row>
    <row r="33" spans="1:25" ht="15.75" thickBot="1" x14ac:dyDescent="0.3">
      <c r="A33" t="s">
        <v>80</v>
      </c>
      <c r="B33" s="41" t="s">
        <v>11</v>
      </c>
      <c r="C33" s="42" t="s">
        <v>12</v>
      </c>
      <c r="D33" s="44" t="s">
        <v>13</v>
      </c>
      <c r="E33" s="28" t="s">
        <v>14</v>
      </c>
      <c r="F33" s="41" t="s">
        <v>11</v>
      </c>
      <c r="G33" s="42" t="s">
        <v>12</v>
      </c>
      <c r="H33" s="43" t="s">
        <v>13</v>
      </c>
      <c r="I33" s="44" t="s">
        <v>14</v>
      </c>
      <c r="J33" s="41" t="s">
        <v>11</v>
      </c>
      <c r="K33" s="42" t="s">
        <v>12</v>
      </c>
      <c r="L33" s="43" t="s">
        <v>13</v>
      </c>
      <c r="M33" s="44" t="s">
        <v>14</v>
      </c>
      <c r="N33" s="41" t="s">
        <v>11</v>
      </c>
      <c r="O33" s="42" t="s">
        <v>12</v>
      </c>
      <c r="P33" s="43" t="s">
        <v>13</v>
      </c>
      <c r="Q33" s="44" t="s">
        <v>14</v>
      </c>
      <c r="R33" s="41" t="s">
        <v>11</v>
      </c>
      <c r="S33" s="42" t="s">
        <v>12</v>
      </c>
      <c r="T33" s="43" t="s">
        <v>13</v>
      </c>
      <c r="U33" s="44" t="s">
        <v>14</v>
      </c>
      <c r="V33" s="41" t="s">
        <v>11</v>
      </c>
      <c r="W33" s="42" t="s">
        <v>12</v>
      </c>
      <c r="X33" s="43" t="s">
        <v>13</v>
      </c>
      <c r="Y33" s="43" t="s">
        <v>14</v>
      </c>
    </row>
    <row r="34" spans="1:25" ht="15.75" hidden="1" customHeight="1" thickBot="1" x14ac:dyDescent="0.3">
      <c r="A34" t="s">
        <v>83</v>
      </c>
      <c r="B34" s="2" t="str">
        <f>B32&amp;B33</f>
        <v>KontorbyggA1-A3</v>
      </c>
      <c r="C34" s="3" t="str">
        <f>B32&amp;C33</f>
        <v>KontorbyggA4</v>
      </c>
      <c r="D34" s="3" t="str">
        <f>B32&amp;D33</f>
        <v>KontorbyggB4-B5</v>
      </c>
      <c r="E34" s="3" t="str">
        <f>B32&amp;E33</f>
        <v>KontorbyggSUM</v>
      </c>
      <c r="F34" s="2" t="str">
        <f>F32&amp;F33</f>
        <v>BoligblokkA1-A3</v>
      </c>
      <c r="G34" s="3" t="str">
        <f>F32&amp;G33</f>
        <v>BoligblokkA4</v>
      </c>
      <c r="H34" s="4" t="str">
        <f>F32&amp;H33</f>
        <v>BoligblokkB4-B5</v>
      </c>
      <c r="I34" s="3" t="str">
        <f>F32&amp;I33</f>
        <v>BoligblokkSUM</v>
      </c>
      <c r="J34" s="2" t="str">
        <f t="shared" ref="J34" si="8">J32&amp;J33</f>
        <v>SkolebyggA1-A3</v>
      </c>
      <c r="K34" s="3" t="str">
        <f>J32&amp;K33</f>
        <v>SkolebyggA4</v>
      </c>
      <c r="L34" s="4" t="str">
        <f>J32&amp;L33</f>
        <v>SkolebyggB4-B5</v>
      </c>
      <c r="M34" s="3" t="str">
        <f>J32&amp;M33</f>
        <v>SkolebyggSUM</v>
      </c>
      <c r="N34" s="2" t="str">
        <f>N32&amp;N33</f>
        <v>Forretning/næringsbyggA1-A3</v>
      </c>
      <c r="O34" s="3" t="str">
        <f>N32&amp;O33</f>
        <v>Forretning/næringsbyggA4</v>
      </c>
      <c r="P34" s="4" t="str">
        <f>N32&amp;P33</f>
        <v>Forretning/næringsbyggB4-B5</v>
      </c>
      <c r="Q34" s="3" t="str">
        <f>N32&amp;Q33</f>
        <v>Forretning/næringsbyggSUM</v>
      </c>
      <c r="R34" s="2" t="str">
        <f>R32&amp;R33</f>
        <v>SykehjemA1-A3</v>
      </c>
      <c r="S34" s="3" t="str">
        <f>R32&amp;S33</f>
        <v>SykehjemA4</v>
      </c>
      <c r="T34" s="4" t="str">
        <f>R32&amp;T33</f>
        <v>SykehjemB4-B5</v>
      </c>
      <c r="U34" s="3" t="str">
        <f>R32&amp;U33</f>
        <v>SykehjemSUM</v>
      </c>
      <c r="V34" s="2" t="str">
        <f>V32&amp;V33</f>
        <v>SmåhusA1-A3</v>
      </c>
      <c r="W34" s="3" t="str">
        <f>V32&amp;W33</f>
        <v>SmåhusA4</v>
      </c>
      <c r="X34" s="4" t="str">
        <f>V32&amp;X33</f>
        <v>SmåhusB4-B5</v>
      </c>
      <c r="Y34" s="3" t="str">
        <f>V32&amp;Y33</f>
        <v>SmåhusSUM</v>
      </c>
    </row>
    <row r="35" spans="1:25" x14ac:dyDescent="0.25">
      <c r="A35" t="s">
        <v>21</v>
      </c>
      <c r="B35" s="19">
        <v>19.584986403508768</v>
      </c>
      <c r="C35" s="18">
        <v>6.02</v>
      </c>
      <c r="D35" s="18">
        <v>0</v>
      </c>
      <c r="E35" s="45">
        <f>SUM(B35:D35)</f>
        <v>25.604986403508768</v>
      </c>
      <c r="F35" s="15">
        <v>23.056798321037814</v>
      </c>
      <c r="G35" s="16">
        <v>11.337761834278796</v>
      </c>
      <c r="H35" s="17">
        <v>0</v>
      </c>
      <c r="I35" s="18">
        <f>SUM(F35:H35)</f>
        <v>34.394560155316611</v>
      </c>
      <c r="J35" s="19">
        <v>24.04359815981903</v>
      </c>
      <c r="K35" s="16">
        <v>9.5423446618180403</v>
      </c>
      <c r="L35" s="20">
        <v>0</v>
      </c>
      <c r="M35" s="18">
        <f>SUM(J35:L35)</f>
        <v>33.585942821637069</v>
      </c>
      <c r="N35" s="15">
        <v>8.6894706194171594</v>
      </c>
      <c r="O35" s="16">
        <v>4.2216135100676064</v>
      </c>
      <c r="P35" s="17">
        <v>0</v>
      </c>
      <c r="Q35" s="18">
        <f>SUM(N35:P35)</f>
        <v>12.911084129484767</v>
      </c>
      <c r="R35" s="19">
        <v>25.048241428196107</v>
      </c>
      <c r="S35" s="16">
        <v>9.668542020676453</v>
      </c>
      <c r="T35" s="20">
        <v>0</v>
      </c>
      <c r="U35" s="18">
        <f>SUM(R35:T35)</f>
        <v>34.716783448872562</v>
      </c>
      <c r="V35" s="15">
        <v>4.4608887073668662</v>
      </c>
      <c r="W35" s="16">
        <v>1.8277588766465911</v>
      </c>
      <c r="X35" s="17">
        <v>0</v>
      </c>
      <c r="Y35" s="20">
        <f>SUM(V35:X35)</f>
        <v>6.2886475840134572</v>
      </c>
    </row>
    <row r="36" spans="1:25" x14ac:dyDescent="0.25">
      <c r="A36" t="s">
        <v>25</v>
      </c>
      <c r="B36" s="19">
        <v>29.520746185772925</v>
      </c>
      <c r="C36" s="18">
        <v>11.7</v>
      </c>
      <c r="D36" s="18">
        <v>22.718003909221732</v>
      </c>
      <c r="E36" s="45">
        <f t="shared" ref="E36:E41" si="9">SUM(B36:D36)</f>
        <v>63.93875009499466</v>
      </c>
      <c r="F36" s="19">
        <v>27.184422306246258</v>
      </c>
      <c r="G36" s="18">
        <v>10.040047786264441</v>
      </c>
      <c r="H36" s="20">
        <v>15.324153366853741</v>
      </c>
      <c r="I36" s="18">
        <f t="shared" ref="I36:I41" si="10">SUM(F36:H36)</f>
        <v>52.548623459364443</v>
      </c>
      <c r="J36" s="19">
        <v>29.667506059760065</v>
      </c>
      <c r="K36" s="18">
        <v>6.7191469990457033</v>
      </c>
      <c r="L36" s="20">
        <v>31.021912440370759</v>
      </c>
      <c r="M36" s="18">
        <f t="shared" ref="M36:M41" si="11">SUM(J36:L36)</f>
        <v>67.408565499176532</v>
      </c>
      <c r="N36" s="19">
        <v>35.334248022111375</v>
      </c>
      <c r="O36" s="18">
        <v>8.4745352780814454</v>
      </c>
      <c r="P36" s="20">
        <v>29.675231941480437</v>
      </c>
      <c r="Q36" s="18">
        <f t="shared" ref="Q36:Q41" si="12">SUM(N36:P36)</f>
        <v>73.484015241673262</v>
      </c>
      <c r="R36" s="19">
        <v>27.430697513932014</v>
      </c>
      <c r="S36" s="18">
        <v>7.7430307982793751</v>
      </c>
      <c r="T36" s="20">
        <v>9.0472214471726211</v>
      </c>
      <c r="U36" s="18">
        <f t="shared" ref="U36:U41" si="13">SUM(R36:T36)</f>
        <v>44.220949759384013</v>
      </c>
      <c r="V36" s="19">
        <v>28.714738797492181</v>
      </c>
      <c r="W36" s="18">
        <v>9.0874155118827495</v>
      </c>
      <c r="X36" s="20">
        <v>26.654957380668147</v>
      </c>
      <c r="Y36" s="20">
        <f t="shared" ref="Y36:Y41" si="14">SUM(V36:X36)</f>
        <v>64.457111690043078</v>
      </c>
    </row>
    <row r="37" spans="1:25" x14ac:dyDescent="0.25">
      <c r="A37" t="s">
        <v>28</v>
      </c>
      <c r="B37" s="19">
        <v>26.245104688910637</v>
      </c>
      <c r="C37" s="18">
        <v>2.97</v>
      </c>
      <c r="D37" s="18">
        <v>6.2112469384279887</v>
      </c>
      <c r="E37" s="45">
        <f t="shared" si="9"/>
        <v>35.426351627338626</v>
      </c>
      <c r="F37" s="19">
        <v>39.950490596703446</v>
      </c>
      <c r="G37" s="18">
        <v>13.607852627064821</v>
      </c>
      <c r="H37" s="20">
        <v>19.290991430954271</v>
      </c>
      <c r="I37" s="18">
        <f t="shared" si="10"/>
        <v>72.84933465472254</v>
      </c>
      <c r="J37" s="19">
        <v>13.888485112767093</v>
      </c>
      <c r="K37" s="18">
        <v>3.4530014684770864</v>
      </c>
      <c r="L37" s="20">
        <v>8.8009886831332373</v>
      </c>
      <c r="M37" s="18">
        <f t="shared" si="11"/>
        <v>26.142475264377417</v>
      </c>
      <c r="N37" s="19">
        <v>15.433457347975196</v>
      </c>
      <c r="O37" s="18">
        <v>3.3428604937222102</v>
      </c>
      <c r="P37" s="20">
        <v>4.1881879708074514</v>
      </c>
      <c r="Q37" s="18">
        <f t="shared" si="12"/>
        <v>22.964505812504857</v>
      </c>
      <c r="R37" s="19">
        <v>17.215207175625924</v>
      </c>
      <c r="S37" s="18">
        <v>5.759938935541534</v>
      </c>
      <c r="T37" s="20">
        <v>17.928552843821397</v>
      </c>
      <c r="U37" s="18">
        <f t="shared" si="13"/>
        <v>40.903698954988855</v>
      </c>
      <c r="V37" s="19">
        <v>16.094020586976903</v>
      </c>
      <c r="W37" s="18">
        <v>5.1991488291371892</v>
      </c>
      <c r="X37" s="20">
        <v>15.010883647410699</v>
      </c>
      <c r="Y37" s="20">
        <f t="shared" si="14"/>
        <v>36.30405306352479</v>
      </c>
    </row>
    <row r="38" spans="1:25" x14ac:dyDescent="0.25">
      <c r="A38" t="s">
        <v>32</v>
      </c>
      <c r="B38" s="19">
        <v>40.242067277639791</v>
      </c>
      <c r="C38" s="18">
        <v>14</v>
      </c>
      <c r="D38" s="18">
        <v>18.466715252248711</v>
      </c>
      <c r="E38" s="45">
        <f t="shared" si="9"/>
        <v>72.708782529888509</v>
      </c>
      <c r="F38" s="19">
        <v>39.142564388641503</v>
      </c>
      <c r="G38" s="18">
        <v>18.212346053668959</v>
      </c>
      <c r="H38" s="20">
        <v>14.128154834347534</v>
      </c>
      <c r="I38" s="18">
        <f t="shared" si="10"/>
        <v>71.483065276657996</v>
      </c>
      <c r="J38" s="19">
        <v>40.174641204072287</v>
      </c>
      <c r="K38" s="18">
        <v>13.201483708993823</v>
      </c>
      <c r="L38" s="20">
        <v>13.076221281974089</v>
      </c>
      <c r="M38" s="18">
        <f t="shared" si="11"/>
        <v>66.452346195040192</v>
      </c>
      <c r="N38" s="19">
        <v>43.051833081879543</v>
      </c>
      <c r="O38" s="18">
        <v>18.427247254835198</v>
      </c>
      <c r="P38" s="20">
        <v>8.3790349728709614</v>
      </c>
      <c r="Q38" s="18">
        <f t="shared" si="12"/>
        <v>69.858115309585713</v>
      </c>
      <c r="R38" s="19">
        <v>44.476030735022199</v>
      </c>
      <c r="S38" s="18">
        <v>15.323908920112912</v>
      </c>
      <c r="T38" s="20">
        <v>21.860695052083333</v>
      </c>
      <c r="U38" s="18">
        <f t="shared" si="13"/>
        <v>81.660634707218449</v>
      </c>
      <c r="V38" s="19">
        <v>31.321712029078906</v>
      </c>
      <c r="W38" s="18">
        <v>10.49702420343408</v>
      </c>
      <c r="X38" s="20">
        <v>14.462076788830714</v>
      </c>
      <c r="Y38" s="20">
        <f t="shared" si="14"/>
        <v>56.280813021343704</v>
      </c>
    </row>
    <row r="39" spans="1:25" x14ac:dyDescent="0.25">
      <c r="A39" t="s">
        <v>36</v>
      </c>
      <c r="B39" s="19">
        <v>22.965021646859086</v>
      </c>
      <c r="C39" s="18">
        <v>4.51</v>
      </c>
      <c r="D39" s="18">
        <v>10.766325912653974</v>
      </c>
      <c r="E39" s="45">
        <f t="shared" si="9"/>
        <v>38.241347559513059</v>
      </c>
      <c r="F39" s="19">
        <v>22.982269636806251</v>
      </c>
      <c r="G39" s="18">
        <v>7.0154986774070904</v>
      </c>
      <c r="H39" s="20">
        <v>10.774409736308316</v>
      </c>
      <c r="I39" s="18">
        <f t="shared" si="10"/>
        <v>40.77217805052166</v>
      </c>
      <c r="J39" s="19">
        <v>34.438469715100446</v>
      </c>
      <c r="K39" s="18">
        <v>8.6557036706106967</v>
      </c>
      <c r="L39" s="20">
        <v>16.145240726124705</v>
      </c>
      <c r="M39" s="18">
        <f t="shared" si="11"/>
        <v>59.239414111835849</v>
      </c>
      <c r="N39" s="19">
        <v>22.958977667063998</v>
      </c>
      <c r="O39" s="18">
        <v>6.6438690431282259</v>
      </c>
      <c r="P39" s="20">
        <v>10.763493630573247</v>
      </c>
      <c r="Q39" s="18">
        <f t="shared" si="12"/>
        <v>40.366340340765476</v>
      </c>
      <c r="R39" s="19">
        <v>34.438469020448593</v>
      </c>
      <c r="S39" s="18">
        <v>9.1497135737719937</v>
      </c>
      <c r="T39" s="20">
        <v>16.145240625</v>
      </c>
      <c r="U39" s="18">
        <f t="shared" si="13"/>
        <v>59.733423219220583</v>
      </c>
      <c r="V39" s="19">
        <v>6.4806225138739553</v>
      </c>
      <c r="W39" s="18">
        <v>3.3241352804994522</v>
      </c>
      <c r="X39" s="20">
        <v>0</v>
      </c>
      <c r="Y39" s="20">
        <f t="shared" si="14"/>
        <v>9.8047577943734083</v>
      </c>
    </row>
    <row r="40" spans="1:25" ht="15.75" thickBot="1" x14ac:dyDescent="0.3">
      <c r="A40" t="s">
        <v>39</v>
      </c>
      <c r="B40" s="19">
        <v>0.597157894736842</v>
      </c>
      <c r="C40" s="18">
        <v>0.11</v>
      </c>
      <c r="D40" s="18">
        <v>0</v>
      </c>
      <c r="E40" s="45">
        <f t="shared" si="9"/>
        <v>0.70715789473684199</v>
      </c>
      <c r="F40" s="21">
        <v>4.1312319926583241</v>
      </c>
      <c r="G40" s="18">
        <v>1.9806212261840668</v>
      </c>
      <c r="H40" s="23">
        <v>0</v>
      </c>
      <c r="I40" s="18">
        <f t="shared" si="10"/>
        <v>6.1118532188423913</v>
      </c>
      <c r="J40" s="19">
        <v>0.27774187484426177</v>
      </c>
      <c r="K40" s="18">
        <v>0.11075408063634683</v>
      </c>
      <c r="L40" s="20">
        <v>0</v>
      </c>
      <c r="M40" s="18">
        <f t="shared" si="11"/>
        <v>0.38849595548060861</v>
      </c>
      <c r="N40" s="19">
        <v>0.29789702221689357</v>
      </c>
      <c r="O40" s="18">
        <v>0.13690761637905607</v>
      </c>
      <c r="P40" s="20">
        <v>0</v>
      </c>
      <c r="Q40" s="18">
        <f t="shared" si="12"/>
        <v>0.43480463859594964</v>
      </c>
      <c r="R40" s="19">
        <v>0.51159355112528038</v>
      </c>
      <c r="S40" s="18">
        <v>0.21585833364896384</v>
      </c>
      <c r="T40" s="20">
        <v>0</v>
      </c>
      <c r="U40" s="18">
        <f t="shared" si="13"/>
        <v>0.72745188477424416</v>
      </c>
      <c r="V40" s="21">
        <v>0.88261780104712062</v>
      </c>
      <c r="W40" s="22">
        <v>0.18451729839994396</v>
      </c>
      <c r="X40" s="23">
        <v>0.79450261780104714</v>
      </c>
      <c r="Y40" s="20">
        <f t="shared" si="14"/>
        <v>1.8616377172481116</v>
      </c>
    </row>
    <row r="41" spans="1:25" ht="15.75" thickBot="1" x14ac:dyDescent="0.3">
      <c r="A41" t="s">
        <v>69</v>
      </c>
      <c r="B41" s="24">
        <v>139.15508409742804</v>
      </c>
      <c r="C41" s="25">
        <v>39.309999999999995</v>
      </c>
      <c r="D41" s="25">
        <v>58.162292012552406</v>
      </c>
      <c r="E41" s="46">
        <f t="shared" si="9"/>
        <v>236.62737610998045</v>
      </c>
      <c r="F41" s="24">
        <v>156.44777724209359</v>
      </c>
      <c r="G41" s="25">
        <v>62.194128204868171</v>
      </c>
      <c r="H41" s="26">
        <v>59.517709368463862</v>
      </c>
      <c r="I41" s="25">
        <f t="shared" si="10"/>
        <v>278.15961481542564</v>
      </c>
      <c r="J41" s="24">
        <v>142.49044212636318</v>
      </c>
      <c r="K41" s="25">
        <v>41.682434589581696</v>
      </c>
      <c r="L41" s="26">
        <v>69.044363131602793</v>
      </c>
      <c r="M41" s="25">
        <f t="shared" si="11"/>
        <v>253.21723984754766</v>
      </c>
      <c r="N41" s="24">
        <v>125.76588376066418</v>
      </c>
      <c r="O41" s="25">
        <v>41.247033196213742</v>
      </c>
      <c r="P41" s="26">
        <v>53.005948515732094</v>
      </c>
      <c r="Q41" s="25">
        <f t="shared" si="12"/>
        <v>220.01886547261</v>
      </c>
      <c r="R41" s="24">
        <v>149.1202394243501</v>
      </c>
      <c r="S41" s="25">
        <v>47.860992582031237</v>
      </c>
      <c r="T41" s="26">
        <v>64.98170996807734</v>
      </c>
      <c r="U41" s="25">
        <f t="shared" si="13"/>
        <v>261.96294197445866</v>
      </c>
      <c r="V41" s="21">
        <v>87.954600435835928</v>
      </c>
      <c r="W41" s="22">
        <v>30.12</v>
      </c>
      <c r="X41" s="23">
        <v>56.922420434710602</v>
      </c>
      <c r="Y41" s="26">
        <f t="shared" si="14"/>
        <v>174.99702087054652</v>
      </c>
    </row>
    <row r="43" spans="1:25" x14ac:dyDescent="0.25">
      <c r="B43" s="32"/>
    </row>
    <row r="72" spans="1:7" ht="15.75" thickBot="1" x14ac:dyDescent="0.3"/>
    <row r="73" spans="1:7" x14ac:dyDescent="0.25">
      <c r="A73" s="306" t="s">
        <v>77</v>
      </c>
      <c r="B73" s="307"/>
      <c r="C73" s="308"/>
      <c r="E73" s="306" t="s">
        <v>78</v>
      </c>
      <c r="F73" s="307"/>
      <c r="G73" s="309"/>
    </row>
    <row r="74" spans="1:7" ht="15.75" thickBot="1" x14ac:dyDescent="0.3">
      <c r="A74" s="5" t="s">
        <v>11</v>
      </c>
      <c r="B74" s="6" t="s">
        <v>12</v>
      </c>
      <c r="C74" s="11" t="s">
        <v>13</v>
      </c>
      <c r="E74" s="12" t="s">
        <v>11</v>
      </c>
      <c r="F74" s="13" t="s">
        <v>12</v>
      </c>
      <c r="G74" s="14" t="s">
        <v>13</v>
      </c>
    </row>
    <row r="75" spans="1:7" ht="15.75" thickBot="1" x14ac:dyDescent="0.3">
      <c r="A75" s="2"/>
      <c r="B75" s="3"/>
      <c r="C75" s="4"/>
      <c r="E75" s="2"/>
      <c r="F75" s="3"/>
      <c r="G75" s="4"/>
    </row>
    <row r="76" spans="1:7" x14ac:dyDescent="0.25">
      <c r="A76" s="18">
        <v>11.306543071161528</v>
      </c>
      <c r="B76" s="18">
        <v>2.04</v>
      </c>
      <c r="C76" s="20">
        <v>0</v>
      </c>
      <c r="E76" s="19">
        <v>11.306543071161528</v>
      </c>
      <c r="F76" s="16">
        <v>3.4133899756974415</v>
      </c>
      <c r="G76" s="20">
        <v>0</v>
      </c>
    </row>
    <row r="77" spans="1:7" x14ac:dyDescent="0.25">
      <c r="A77" s="18">
        <v>30.844941863287318</v>
      </c>
      <c r="B77" s="18">
        <v>4.24</v>
      </c>
      <c r="C77" s="20">
        <v>0</v>
      </c>
      <c r="E77" s="19">
        <v>30.844941863287318</v>
      </c>
      <c r="F77" s="18">
        <v>6.7950857058615473</v>
      </c>
      <c r="G77" s="20">
        <v>0</v>
      </c>
    </row>
    <row r="78" spans="1:7" x14ac:dyDescent="0.25">
      <c r="A78" s="18">
        <v>17.076042760405155</v>
      </c>
      <c r="B78" s="18">
        <v>2.97</v>
      </c>
      <c r="C78" s="20">
        <v>1.2141422059233962</v>
      </c>
      <c r="E78" s="19">
        <v>1.7076042760405161</v>
      </c>
      <c r="F78" s="18">
        <v>0.51707150093999155</v>
      </c>
      <c r="G78" s="20">
        <v>0.12141422059233961</v>
      </c>
    </row>
    <row r="79" spans="1:7" x14ac:dyDescent="0.25">
      <c r="A79" s="18">
        <v>41.161921695255224</v>
      </c>
      <c r="B79" s="18">
        <v>18.399999999999999</v>
      </c>
      <c r="C79" s="20">
        <v>18.463582913046743</v>
      </c>
      <c r="E79" s="19">
        <v>37.882533527063018</v>
      </c>
      <c r="F79" s="18">
        <v>12.517953617022068</v>
      </c>
      <c r="G79" s="20">
        <v>4.0455488990394812</v>
      </c>
    </row>
    <row r="80" spans="1:7" x14ac:dyDescent="0.25">
      <c r="A80" s="18">
        <v>0</v>
      </c>
      <c r="B80" s="18">
        <v>0</v>
      </c>
      <c r="C80" s="20">
        <v>0</v>
      </c>
      <c r="E80" s="19">
        <v>0</v>
      </c>
      <c r="F80" s="18">
        <v>0</v>
      </c>
      <c r="G80" s="20">
        <v>0</v>
      </c>
    </row>
    <row r="81" spans="1:7" ht="15.75" thickBot="1" x14ac:dyDescent="0.3">
      <c r="A81" s="18">
        <v>0.26789141969420699</v>
      </c>
      <c r="B81" s="18">
        <v>0.05</v>
      </c>
      <c r="C81" s="20">
        <v>0</v>
      </c>
      <c r="E81" s="19">
        <v>0.26789141969420699</v>
      </c>
      <c r="F81" s="18">
        <v>8.4901547957053874E-2</v>
      </c>
      <c r="G81" s="20">
        <v>0</v>
      </c>
    </row>
    <row r="82" spans="1:7" ht="15.75" thickBot="1" x14ac:dyDescent="0.3">
      <c r="A82" s="24">
        <v>100.65734080980343</v>
      </c>
      <c r="B82" s="25">
        <v>27.7</v>
      </c>
      <c r="C82" s="26">
        <v>19.677725118970141</v>
      </c>
      <c r="E82" s="25">
        <v>82.009514157246599</v>
      </c>
      <c r="F82" s="25">
        <v>23.328402347478111</v>
      </c>
      <c r="G82" s="26">
        <v>4.1669631196318218</v>
      </c>
    </row>
    <row r="88" spans="1:7" x14ac:dyDescent="0.25">
      <c r="A88" t="s">
        <v>91</v>
      </c>
      <c r="B88" s="331" t="s">
        <v>92</v>
      </c>
      <c r="C88" s="331"/>
    </row>
    <row r="89" spans="1:7" x14ac:dyDescent="0.25">
      <c r="A89" t="s">
        <v>93</v>
      </c>
      <c r="B89" t="s">
        <v>68</v>
      </c>
      <c r="C89" t="s">
        <v>94</v>
      </c>
    </row>
    <row r="90" spans="1:7" x14ac:dyDescent="0.25">
      <c r="A90" t="s">
        <v>95</v>
      </c>
      <c r="B90" s="8">
        <v>261.33729579566159</v>
      </c>
      <c r="C90" s="8">
        <v>139.15508409742799</v>
      </c>
      <c r="D90" s="27">
        <f>(B90-C90)/B90</f>
        <v>0.4675268844664533</v>
      </c>
    </row>
    <row r="91" spans="1:7" x14ac:dyDescent="0.25">
      <c r="A91" t="s">
        <v>96</v>
      </c>
      <c r="B91" s="8">
        <v>40.01336078947368</v>
      </c>
      <c r="C91" s="8">
        <v>40.013360789473687</v>
      </c>
      <c r="D91" s="27">
        <f t="shared" ref="D91:D93" si="15">(B91-C91)/B91</f>
        <v>-1.7757636992767246E-16</v>
      </c>
    </row>
    <row r="92" spans="1:7" x14ac:dyDescent="0.25">
      <c r="A92" t="s">
        <v>97</v>
      </c>
      <c r="B92" s="8">
        <v>104.25956524758439</v>
      </c>
      <c r="C92" s="8">
        <v>65.491836765497268</v>
      </c>
      <c r="D92" s="27">
        <f t="shared" si="15"/>
        <v>0.37183857797628156</v>
      </c>
    </row>
    <row r="93" spans="1:7" x14ac:dyDescent="0.25">
      <c r="A93" t="s">
        <v>14</v>
      </c>
      <c r="B93" s="8">
        <v>405.61022183271962</v>
      </c>
      <c r="C93" s="8">
        <v>244.66028165239896</v>
      </c>
      <c r="D93" s="27">
        <f t="shared" si="15"/>
        <v>0.39680937884918266</v>
      </c>
    </row>
    <row r="94" spans="1:7" x14ac:dyDescent="0.25">
      <c r="B94" s="8"/>
      <c r="C94" s="8"/>
    </row>
    <row r="95" spans="1:7" x14ac:dyDescent="0.25">
      <c r="B95" s="331" t="s">
        <v>98</v>
      </c>
      <c r="C95" s="331"/>
    </row>
    <row r="96" spans="1:7" x14ac:dyDescent="0.25">
      <c r="A96" t="s">
        <v>93</v>
      </c>
      <c r="B96" t="s">
        <v>68</v>
      </c>
      <c r="C96" t="s">
        <v>94</v>
      </c>
    </row>
    <row r="97" spans="1:4" x14ac:dyDescent="0.25">
      <c r="A97" t="s">
        <v>95</v>
      </c>
      <c r="B97" s="8">
        <v>322.7026150166667</v>
      </c>
      <c r="C97" s="8">
        <v>156.44777724209351</v>
      </c>
      <c r="D97" s="27">
        <f>(B97-C97)/B97</f>
        <v>0.5151951984212666</v>
      </c>
    </row>
    <row r="98" spans="1:4" x14ac:dyDescent="0.25">
      <c r="A98" t="s">
        <v>96</v>
      </c>
      <c r="B98" s="8">
        <v>62.194128204868171</v>
      </c>
      <c r="C98" s="8">
        <v>62.194128204868171</v>
      </c>
      <c r="D98" s="27">
        <f t="shared" ref="D98:D100" si="16">(B98-C98)/B98</f>
        <v>0</v>
      </c>
    </row>
    <row r="99" spans="1:4" x14ac:dyDescent="0.25">
      <c r="A99" t="s">
        <v>97</v>
      </c>
      <c r="B99" s="8">
        <v>97.102753575698458</v>
      </c>
      <c r="C99" s="8">
        <v>71.049035036144716</v>
      </c>
      <c r="D99" s="27">
        <f t="shared" si="16"/>
        <v>0.26831081076648383</v>
      </c>
    </row>
    <row r="100" spans="1:4" x14ac:dyDescent="0.25">
      <c r="A100" t="s">
        <v>14</v>
      </c>
      <c r="B100" s="8">
        <v>481.99949679723329</v>
      </c>
      <c r="C100" s="8">
        <v>289.69094048310637</v>
      </c>
      <c r="D100" s="27">
        <f t="shared" si="16"/>
        <v>0.39898082382236788</v>
      </c>
    </row>
    <row r="101" spans="1:4" x14ac:dyDescent="0.25">
      <c r="B101" s="8"/>
      <c r="C101" s="8"/>
    </row>
    <row r="102" spans="1:4" x14ac:dyDescent="0.25">
      <c r="B102" s="331" t="s">
        <v>99</v>
      </c>
      <c r="C102" s="331"/>
    </row>
    <row r="103" spans="1:4" x14ac:dyDescent="0.25">
      <c r="A103" t="s">
        <v>93</v>
      </c>
      <c r="B103" t="s">
        <v>68</v>
      </c>
      <c r="C103" t="s">
        <v>94</v>
      </c>
    </row>
    <row r="104" spans="1:4" x14ac:dyDescent="0.25">
      <c r="A104" t="s">
        <v>95</v>
      </c>
      <c r="B104" s="8">
        <v>262.67174816701703</v>
      </c>
      <c r="C104" s="8">
        <v>142.49044212636326</v>
      </c>
      <c r="D104" s="27">
        <f>(B104-C104)/B104</f>
        <v>0.45753419193082678</v>
      </c>
    </row>
    <row r="105" spans="1:4" x14ac:dyDescent="0.25">
      <c r="A105" t="s">
        <v>96</v>
      </c>
      <c r="B105" s="8">
        <v>41.682434589581696</v>
      </c>
      <c r="C105" s="8">
        <v>41.682434589581696</v>
      </c>
      <c r="D105" s="27">
        <f t="shared" ref="D105:D107" si="17">(B105-C105)/B105</f>
        <v>0</v>
      </c>
    </row>
    <row r="106" spans="1:4" x14ac:dyDescent="0.25">
      <c r="A106" t="s">
        <v>97</v>
      </c>
      <c r="B106" s="8">
        <v>77.633070504628861</v>
      </c>
      <c r="C106" s="8">
        <v>77.633070504628861</v>
      </c>
      <c r="D106" s="27">
        <f t="shared" si="17"/>
        <v>0</v>
      </c>
    </row>
    <row r="107" spans="1:4" x14ac:dyDescent="0.25">
      <c r="A107" t="s">
        <v>14</v>
      </c>
      <c r="B107" s="8">
        <v>381.98725326122758</v>
      </c>
      <c r="C107" s="8">
        <v>261.80594722057384</v>
      </c>
      <c r="D107" s="27">
        <f t="shared" si="17"/>
        <v>0.31462124721336182</v>
      </c>
    </row>
    <row r="108" spans="1:4" x14ac:dyDescent="0.25">
      <c r="B108" s="8"/>
      <c r="C108" s="8"/>
    </row>
    <row r="109" spans="1:4" x14ac:dyDescent="0.25">
      <c r="B109" s="331" t="s">
        <v>100</v>
      </c>
      <c r="C109" s="331"/>
    </row>
    <row r="110" spans="1:4" x14ac:dyDescent="0.25">
      <c r="A110" t="s">
        <v>93</v>
      </c>
      <c r="B110" t="s">
        <v>68</v>
      </c>
      <c r="C110" t="s">
        <v>94</v>
      </c>
    </row>
    <row r="111" spans="1:4" x14ac:dyDescent="0.25">
      <c r="A111" t="s">
        <v>95</v>
      </c>
      <c r="B111" s="8">
        <v>225.75793199033629</v>
      </c>
      <c r="C111" s="8">
        <v>125.76588376066402</v>
      </c>
      <c r="D111" s="27">
        <f>(B111-C111)/B111</f>
        <v>0.44291709862913026</v>
      </c>
    </row>
    <row r="112" spans="1:4" x14ac:dyDescent="0.25">
      <c r="A112" t="s">
        <v>96</v>
      </c>
      <c r="B112" s="8">
        <v>41.247033196213742</v>
      </c>
      <c r="C112" s="8">
        <v>41.247033196213742</v>
      </c>
      <c r="D112" s="27">
        <f t="shared" ref="D112:D114" si="18">(B112-C112)/B112</f>
        <v>0</v>
      </c>
    </row>
    <row r="113" spans="1:4" x14ac:dyDescent="0.25">
      <c r="A113" t="s">
        <v>97</v>
      </c>
      <c r="B113" s="8">
        <v>91.199065121358458</v>
      </c>
      <c r="C113" s="8">
        <v>60.455477605434865</v>
      </c>
      <c r="D113" s="27">
        <f t="shared" si="18"/>
        <v>0.33710419591487201</v>
      </c>
    </row>
    <row r="114" spans="1:4" x14ac:dyDescent="0.25">
      <c r="A114" t="s">
        <v>14</v>
      </c>
      <c r="B114" s="8">
        <v>358.20403030790845</v>
      </c>
      <c r="C114" s="8">
        <v>227.46839456231265</v>
      </c>
      <c r="D114" s="27">
        <f t="shared" si="18"/>
        <v>0.3649753344015052</v>
      </c>
    </row>
    <row r="116" spans="1:4" x14ac:dyDescent="0.25">
      <c r="B116" s="331" t="s">
        <v>101</v>
      </c>
      <c r="C116" s="331"/>
    </row>
    <row r="117" spans="1:4" x14ac:dyDescent="0.25">
      <c r="A117" t="s">
        <v>93</v>
      </c>
      <c r="B117" t="s">
        <v>68</v>
      </c>
      <c r="C117" t="s">
        <v>94</v>
      </c>
    </row>
    <row r="118" spans="1:4" x14ac:dyDescent="0.25">
      <c r="A118" t="s">
        <v>95</v>
      </c>
      <c r="B118" s="8">
        <v>144.07564167837705</v>
      </c>
      <c r="C118" s="8">
        <v>87.954600436883169</v>
      </c>
      <c r="D118" s="27">
        <f>(B118-C118)/B118</f>
        <v>0.38952483978363261</v>
      </c>
    </row>
    <row r="119" spans="1:4" x14ac:dyDescent="0.25">
      <c r="A119" t="s">
        <v>96</v>
      </c>
      <c r="B119" s="8">
        <v>30.12</v>
      </c>
      <c r="C119" s="8">
        <v>30.12</v>
      </c>
      <c r="D119" s="27">
        <f t="shared" ref="D119:D121" si="19">(B119-C119)/B119</f>
        <v>0</v>
      </c>
    </row>
    <row r="120" spans="1:4" x14ac:dyDescent="0.25">
      <c r="A120" t="s">
        <v>97</v>
      </c>
      <c r="B120" s="8">
        <v>99.561075181715267</v>
      </c>
      <c r="C120" s="8">
        <v>79.764229630743088</v>
      </c>
      <c r="D120" s="27">
        <f t="shared" si="19"/>
        <v>0.19884121896875556</v>
      </c>
    </row>
    <row r="121" spans="1:4" x14ac:dyDescent="0.25">
      <c r="A121" t="s">
        <v>14</v>
      </c>
      <c r="B121" s="8">
        <v>273.7567168600923</v>
      </c>
      <c r="C121" s="8">
        <v>197.83883006762625</v>
      </c>
      <c r="D121" s="27">
        <f t="shared" si="19"/>
        <v>0.27731880942766085</v>
      </c>
    </row>
    <row r="122" spans="1:4" x14ac:dyDescent="0.25">
      <c r="B122" s="8"/>
      <c r="C122" s="8"/>
    </row>
    <row r="123" spans="1:4" x14ac:dyDescent="0.25">
      <c r="B123" s="331" t="s">
        <v>102</v>
      </c>
      <c r="C123" s="331"/>
    </row>
    <row r="124" spans="1:4" x14ac:dyDescent="0.25">
      <c r="A124" t="s">
        <v>93</v>
      </c>
      <c r="B124" t="s">
        <v>68</v>
      </c>
      <c r="C124" t="s">
        <v>94</v>
      </c>
    </row>
    <row r="125" spans="1:4" x14ac:dyDescent="0.25">
      <c r="A125" t="s">
        <v>95</v>
      </c>
      <c r="B125" s="8">
        <v>285.32304829065316</v>
      </c>
      <c r="C125" s="8">
        <v>149.12023942435013</v>
      </c>
      <c r="D125" s="27">
        <f>(B125-C125)/B125</f>
        <v>0.47736349966216474</v>
      </c>
    </row>
    <row r="126" spans="1:4" x14ac:dyDescent="0.25">
      <c r="A126" t="s">
        <v>96</v>
      </c>
      <c r="B126" s="8">
        <v>47.860992582031237</v>
      </c>
      <c r="C126" s="8">
        <v>47.860992582031237</v>
      </c>
      <c r="D126" s="27">
        <f t="shared" ref="D126:D128" si="20">(B126-C126)/B126</f>
        <v>0</v>
      </c>
    </row>
    <row r="127" spans="1:4" x14ac:dyDescent="0.25">
      <c r="A127" t="s">
        <v>97</v>
      </c>
      <c r="B127" s="8">
        <v>76.787603461728068</v>
      </c>
      <c r="C127" s="8">
        <v>74.440160492978066</v>
      </c>
      <c r="D127" s="27">
        <f t="shared" si="20"/>
        <v>3.057059815546917E-2</v>
      </c>
    </row>
    <row r="128" spans="1:4" x14ac:dyDescent="0.25">
      <c r="A128" t="s">
        <v>14</v>
      </c>
      <c r="B128" s="8">
        <v>409.97164433441247</v>
      </c>
      <c r="C128" s="8">
        <v>271.4213924993594</v>
      </c>
      <c r="D128" s="27">
        <f t="shared" si="20"/>
        <v>0.33795081623264195</v>
      </c>
    </row>
    <row r="130" spans="1:4" x14ac:dyDescent="0.25">
      <c r="A130" t="s">
        <v>93</v>
      </c>
      <c r="B130" s="331" t="s">
        <v>103</v>
      </c>
      <c r="C130" s="331"/>
    </row>
    <row r="131" spans="1:4" x14ac:dyDescent="0.25">
      <c r="B131" t="s">
        <v>68</v>
      </c>
      <c r="C131" t="s">
        <v>94</v>
      </c>
    </row>
    <row r="132" spans="1:4" x14ac:dyDescent="0.25">
      <c r="A132" t="s">
        <v>95</v>
      </c>
      <c r="B132" s="8">
        <v>230.84743336495856</v>
      </c>
      <c r="C132" s="8">
        <v>100.6573408098035</v>
      </c>
      <c r="D132" s="27">
        <f>(B132-C132)/B132</f>
        <v>0.56396595213311662</v>
      </c>
    </row>
    <row r="133" spans="1:4" x14ac:dyDescent="0.25">
      <c r="A133" t="s">
        <v>96</v>
      </c>
      <c r="B133" s="8">
        <v>27.393905428214318</v>
      </c>
      <c r="C133" s="8">
        <v>27.393905428214318</v>
      </c>
      <c r="D133" s="27">
        <f t="shared" ref="D133:D135" si="21">(B133-C133)/B133</f>
        <v>0</v>
      </c>
    </row>
    <row r="134" spans="1:4" x14ac:dyDescent="0.25">
      <c r="A134" t="s">
        <v>97</v>
      </c>
      <c r="B134" s="8">
        <v>54.122049867407831</v>
      </c>
      <c r="C134" s="8">
        <v>21.582403865131525</v>
      </c>
      <c r="D134" s="27">
        <f t="shared" si="21"/>
        <v>0.60122715384938885</v>
      </c>
    </row>
    <row r="135" spans="1:4" x14ac:dyDescent="0.25">
      <c r="A135" t="s">
        <v>14</v>
      </c>
      <c r="B135" s="8">
        <v>312.36338866058071</v>
      </c>
      <c r="C135" s="8">
        <v>149.63365010314936</v>
      </c>
      <c r="D135" s="27">
        <f t="shared" si="21"/>
        <v>0.52096290559280689</v>
      </c>
    </row>
    <row r="136" spans="1:4" x14ac:dyDescent="0.25">
      <c r="B136" s="8"/>
      <c r="C136" s="8"/>
    </row>
    <row r="137" spans="1:4" x14ac:dyDescent="0.25">
      <c r="B137" s="331" t="s">
        <v>104</v>
      </c>
      <c r="C137" s="331"/>
    </row>
    <row r="138" spans="1:4" x14ac:dyDescent="0.25">
      <c r="A138" t="s">
        <v>93</v>
      </c>
      <c r="B138" t="s">
        <v>68</v>
      </c>
      <c r="C138" t="s">
        <v>94</v>
      </c>
    </row>
    <row r="139" spans="1:4" x14ac:dyDescent="0.25">
      <c r="A139" t="s">
        <v>95</v>
      </c>
      <c r="B139" s="8">
        <v>185.76233597535463</v>
      </c>
      <c r="C139" s="8">
        <v>82.009514157246599</v>
      </c>
      <c r="D139" s="27">
        <f>(B139-C139)/B139</f>
        <v>0.55852453229202004</v>
      </c>
    </row>
    <row r="140" spans="1:4" x14ac:dyDescent="0.25">
      <c r="A140" t="s">
        <v>96</v>
      </c>
      <c r="B140" s="8">
        <v>23.328402347478111</v>
      </c>
      <c r="C140" s="8">
        <v>23.328402347478111</v>
      </c>
      <c r="D140" s="27">
        <f t="shared" ref="D140:D142" si="22">(B140-C140)/B140</f>
        <v>0</v>
      </c>
    </row>
    <row r="141" spans="1:4" x14ac:dyDescent="0.25">
      <c r="A141" t="s">
        <v>97</v>
      </c>
      <c r="B141" s="8">
        <v>8.2222569080115022</v>
      </c>
      <c r="C141" s="8">
        <v>4.9682923077838703</v>
      </c>
      <c r="D141" s="27">
        <f t="shared" si="22"/>
        <v>0.39575078188776536</v>
      </c>
    </row>
    <row r="142" spans="1:4" x14ac:dyDescent="0.25">
      <c r="A142" t="s">
        <v>14</v>
      </c>
      <c r="B142" s="8">
        <v>217.31299523084425</v>
      </c>
      <c r="C142" s="8">
        <v>110.30620881250859</v>
      </c>
      <c r="D142" s="27">
        <f t="shared" si="22"/>
        <v>0.49240859390238478</v>
      </c>
    </row>
  </sheetData>
  <sheetProtection algorithmName="SHA-512" hashValue="Jn4hmW5Grs8YwMa+TT3kHZU9OuxGFrykjscqJFRDWi7uGY6NTR49y7x5XzLllznJD+VizrDpsEsT7hfRwp9Cag==" saltValue="tK0yyMBmaiOtcx0B3mevYA==" spinCount="100000" sheet="1" objects="1" scenarios="1"/>
  <mergeCells count="63">
    <mergeCell ref="T26:V26"/>
    <mergeCell ref="W26:Y26"/>
    <mergeCell ref="T27:V27"/>
    <mergeCell ref="T28:V28"/>
    <mergeCell ref="T29:V29"/>
    <mergeCell ref="W27:Y27"/>
    <mergeCell ref="W28:Y28"/>
    <mergeCell ref="W29:Y29"/>
    <mergeCell ref="B123:C123"/>
    <mergeCell ref="B130:C130"/>
    <mergeCell ref="B137:C137"/>
    <mergeCell ref="W15:Y15"/>
    <mergeCell ref="B95:C95"/>
    <mergeCell ref="B102:C102"/>
    <mergeCell ref="B109:C109"/>
    <mergeCell ref="B116:C116"/>
    <mergeCell ref="T15:V15"/>
    <mergeCell ref="B15:D15"/>
    <mergeCell ref="E15:G15"/>
    <mergeCell ref="H15:J15"/>
    <mergeCell ref="K15:M15"/>
    <mergeCell ref="N15:P15"/>
    <mergeCell ref="Q15:S15"/>
    <mergeCell ref="B88:C88"/>
    <mergeCell ref="N28:P28"/>
    <mergeCell ref="Q28:S28"/>
    <mergeCell ref="B27:D27"/>
    <mergeCell ref="E27:G27"/>
    <mergeCell ref="H27:J27"/>
    <mergeCell ref="K27:M27"/>
    <mergeCell ref="N27:P27"/>
    <mergeCell ref="AA15:AG15"/>
    <mergeCell ref="AE16:AG16"/>
    <mergeCell ref="AE20:AG20"/>
    <mergeCell ref="AE19:AG19"/>
    <mergeCell ref="B32:E32"/>
    <mergeCell ref="F32:I32"/>
    <mergeCell ref="J32:M32"/>
    <mergeCell ref="N32:Q32"/>
    <mergeCell ref="R32:U32"/>
    <mergeCell ref="Q29:S29"/>
    <mergeCell ref="B26:D26"/>
    <mergeCell ref="E26:G26"/>
    <mergeCell ref="H26:J26"/>
    <mergeCell ref="K26:M26"/>
    <mergeCell ref="N26:P26"/>
    <mergeCell ref="Q26:S26"/>
    <mergeCell ref="V32:Y32"/>
    <mergeCell ref="A73:C73"/>
    <mergeCell ref="E73:G73"/>
    <mergeCell ref="AA18:AB18"/>
    <mergeCell ref="AA19:AB19"/>
    <mergeCell ref="AA20:AB20"/>
    <mergeCell ref="B29:D29"/>
    <mergeCell ref="E29:G29"/>
    <mergeCell ref="H29:J29"/>
    <mergeCell ref="K29:M29"/>
    <mergeCell ref="N29:P29"/>
    <mergeCell ref="Q27:S27"/>
    <mergeCell ref="B28:D28"/>
    <mergeCell ref="E28:G28"/>
    <mergeCell ref="H28:J28"/>
    <mergeCell ref="K28:M28"/>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showGridLines="0" workbookViewId="0">
      <selection activeCell="F3" sqref="F3"/>
    </sheetView>
  </sheetViews>
  <sheetFormatPr baseColWidth="10" defaultColWidth="11.42578125" defaultRowHeight="15" x14ac:dyDescent="0.25"/>
  <cols>
    <col min="5" max="5" width="23.85546875" bestFit="1" customWidth="1"/>
  </cols>
  <sheetData>
    <row r="1" spans="1:8" x14ac:dyDescent="0.25">
      <c r="A1" t="s">
        <v>105</v>
      </c>
    </row>
    <row r="2" spans="1:8" x14ac:dyDescent="0.25">
      <c r="A2" s="1" t="s">
        <v>3</v>
      </c>
      <c r="F2" t="s">
        <v>106</v>
      </c>
      <c r="H2" t="s">
        <v>106</v>
      </c>
    </row>
    <row r="3" spans="1:8" x14ac:dyDescent="0.25">
      <c r="A3" s="1" t="s">
        <v>72</v>
      </c>
      <c r="E3" t="str">
        <f>Verktøy!I7</f>
        <v>21 Grunn og fundamenter</v>
      </c>
      <c r="F3">
        <v>0</v>
      </c>
      <c r="G3" s="9">
        <f>Verktøy!M7</f>
        <v>0</v>
      </c>
      <c r="H3">
        <v>0</v>
      </c>
    </row>
    <row r="4" spans="1:8" x14ac:dyDescent="0.25">
      <c r="A4" s="1" t="s">
        <v>73</v>
      </c>
      <c r="E4" t="str">
        <f>Verktøy!I8</f>
        <v>22 Bæresystemer</v>
      </c>
      <c r="F4">
        <v>0</v>
      </c>
      <c r="G4" s="9">
        <f>Verktøy!M8</f>
        <v>0</v>
      </c>
      <c r="H4">
        <v>0</v>
      </c>
    </row>
    <row r="5" spans="1:8" x14ac:dyDescent="0.25">
      <c r="A5" s="1" t="s">
        <v>74</v>
      </c>
      <c r="E5" t="str">
        <f>Verktøy!I9</f>
        <v>23 Yttervegger</v>
      </c>
      <c r="F5">
        <v>0</v>
      </c>
      <c r="G5" s="9">
        <f>Verktøy!M9</f>
        <v>0</v>
      </c>
      <c r="H5">
        <v>0</v>
      </c>
    </row>
    <row r="6" spans="1:8" x14ac:dyDescent="0.25">
      <c r="A6" s="1" t="s">
        <v>75</v>
      </c>
      <c r="E6" t="str">
        <f>Verktøy!I10</f>
        <v>24 Innervegger</v>
      </c>
      <c r="F6">
        <v>0</v>
      </c>
      <c r="G6" s="9">
        <f>Verktøy!M10</f>
        <v>0</v>
      </c>
      <c r="H6">
        <v>0</v>
      </c>
    </row>
    <row r="7" spans="1:8" x14ac:dyDescent="0.25">
      <c r="A7" s="1" t="s">
        <v>76</v>
      </c>
      <c r="E7" t="str">
        <f>Verktøy!I11</f>
        <v>25 Dekker</v>
      </c>
      <c r="F7">
        <v>0</v>
      </c>
      <c r="G7" s="9">
        <f>Verktøy!M11</f>
        <v>0</v>
      </c>
      <c r="H7">
        <v>0</v>
      </c>
    </row>
    <row r="8" spans="1:8" x14ac:dyDescent="0.25">
      <c r="A8" s="1"/>
      <c r="E8" t="str">
        <f>Verktøy!I12</f>
        <v>26 Yttertak</v>
      </c>
      <c r="F8">
        <v>0</v>
      </c>
      <c r="G8" s="9">
        <f>Verktøy!M12</f>
        <v>0</v>
      </c>
      <c r="H8">
        <v>0</v>
      </c>
    </row>
    <row r="9" spans="1:8" x14ac:dyDescent="0.25">
      <c r="A9" s="1"/>
      <c r="E9" t="str">
        <f>Verktøy!I13</f>
        <v>28 Trapper og balkonger</v>
      </c>
      <c r="F9">
        <v>0</v>
      </c>
      <c r="G9" s="9">
        <f>Verktøy!M13</f>
        <v>0</v>
      </c>
      <c r="H9">
        <v>0</v>
      </c>
    </row>
    <row r="10" spans="1:8" x14ac:dyDescent="0.25">
      <c r="E10" t="s">
        <v>48</v>
      </c>
      <c r="F10" s="8" t="e">
        <f>Verktøy!B30</f>
        <v>#VALUE!</v>
      </c>
      <c r="G10" s="8" t="e">
        <f>Verktøy!B30</f>
        <v>#VALUE!</v>
      </c>
      <c r="H10" s="8" t="e">
        <f>Verktøy!B30</f>
        <v>#VALUE!</v>
      </c>
    </row>
    <row r="11" spans="1:8" x14ac:dyDescent="0.25">
      <c r="E11" t="s">
        <v>49</v>
      </c>
      <c r="F11" s="8" t="str">
        <f>Verktøy!C30</f>
        <v>-</v>
      </c>
      <c r="G11" s="8" t="str">
        <f>Verktøy!C30</f>
        <v>-</v>
      </c>
      <c r="H11" s="8" t="str">
        <f>Verktøy!C30</f>
        <v>-</v>
      </c>
    </row>
    <row r="12" spans="1:8" x14ac:dyDescent="0.25">
      <c r="E12" t="s">
        <v>50</v>
      </c>
      <c r="F12" s="8" t="str">
        <f>Verktøy!D30</f>
        <v>-</v>
      </c>
      <c r="G12" s="8" t="str">
        <f>Verktøy!D30</f>
        <v>-</v>
      </c>
      <c r="H12" s="8" t="str">
        <f>Verktøy!D30</f>
        <v>-</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46"/>
  <sheetViews>
    <sheetView showGridLines="0" workbookViewId="0">
      <selection activeCell="C16" sqref="C16"/>
    </sheetView>
  </sheetViews>
  <sheetFormatPr baseColWidth="10" defaultColWidth="11.42578125" defaultRowHeight="15" x14ac:dyDescent="0.25"/>
  <cols>
    <col min="2" max="2" width="19.140625" customWidth="1"/>
    <col min="4" max="4" width="15.5703125" customWidth="1"/>
    <col min="5" max="5" width="17.85546875" customWidth="1"/>
    <col min="8" max="8" width="15" customWidth="1"/>
    <col min="10" max="10" width="17.140625" customWidth="1"/>
    <col min="15" max="15" width="13.28515625" customWidth="1"/>
  </cols>
  <sheetData>
    <row r="2" spans="2:16" ht="15" customHeight="1" x14ac:dyDescent="0.25">
      <c r="B2" s="193"/>
      <c r="C2" s="193"/>
      <c r="D2" s="193"/>
      <c r="E2" s="193"/>
      <c r="F2" s="193"/>
      <c r="G2" s="193"/>
      <c r="H2" s="193"/>
      <c r="J2" s="193"/>
      <c r="K2" s="193"/>
      <c r="L2" s="193"/>
      <c r="M2" s="193"/>
      <c r="N2" s="193"/>
      <c r="O2" s="193"/>
    </row>
    <row r="3" spans="2:16" x14ac:dyDescent="0.25">
      <c r="B3" s="193"/>
      <c r="C3" s="193"/>
      <c r="D3" s="193"/>
      <c r="E3" s="193"/>
      <c r="F3" s="193"/>
      <c r="G3" s="193"/>
      <c r="H3" s="193"/>
      <c r="J3" s="193"/>
      <c r="K3" s="193"/>
      <c r="L3" s="193"/>
      <c r="M3" s="193"/>
      <c r="N3" s="193"/>
      <c r="O3" s="193"/>
    </row>
    <row r="4" spans="2:16" x14ac:dyDescent="0.25">
      <c r="B4" s="193"/>
      <c r="C4" s="193"/>
      <c r="D4" s="193"/>
      <c r="E4" s="193"/>
      <c r="F4" s="193"/>
      <c r="G4" s="193"/>
      <c r="H4" s="193"/>
      <c r="J4" s="193"/>
      <c r="K4" s="193"/>
      <c r="L4" s="193"/>
      <c r="M4" s="193"/>
      <c r="N4" s="193"/>
      <c r="O4" s="193"/>
    </row>
    <row r="5" spans="2:16" x14ac:dyDescent="0.25">
      <c r="B5" s="193"/>
      <c r="C5" s="193"/>
      <c r="D5" s="193"/>
      <c r="E5" s="193"/>
      <c r="F5" s="193"/>
      <c r="G5" s="193"/>
      <c r="H5" s="193"/>
      <c r="J5" s="193"/>
      <c r="K5" s="193"/>
      <c r="L5" s="193"/>
      <c r="M5" s="193"/>
      <c r="N5" s="193"/>
      <c r="O5" s="193"/>
    </row>
    <row r="6" spans="2:16" x14ac:dyDescent="0.25">
      <c r="B6" s="193"/>
      <c r="C6" s="193"/>
      <c r="D6" s="193"/>
      <c r="E6" s="193"/>
      <c r="F6" s="193"/>
      <c r="G6" s="193"/>
      <c r="H6" s="193"/>
      <c r="J6" s="193"/>
      <c r="K6" s="193"/>
      <c r="L6" s="193"/>
      <c r="M6" s="193"/>
      <c r="N6" s="193"/>
      <c r="O6" s="193"/>
    </row>
    <row r="7" spans="2:16" x14ac:dyDescent="0.25">
      <c r="B7" s="193"/>
      <c r="C7" s="193"/>
      <c r="D7" s="193"/>
      <c r="E7" s="193"/>
      <c r="F7" s="193"/>
      <c r="G7" s="193"/>
      <c r="H7" s="193"/>
      <c r="J7" s="193"/>
      <c r="K7" s="193"/>
      <c r="L7" s="193"/>
      <c r="M7" s="193"/>
      <c r="N7" s="193"/>
      <c r="O7" s="193"/>
    </row>
    <row r="8" spans="2:16" ht="118.5" customHeight="1" x14ac:dyDescent="0.25">
      <c r="B8" s="193"/>
      <c r="C8" s="193"/>
      <c r="D8" s="193"/>
      <c r="E8" s="193"/>
      <c r="F8" s="193"/>
      <c r="G8" s="193"/>
      <c r="H8" s="193"/>
      <c r="J8" s="193"/>
      <c r="K8" s="193"/>
      <c r="L8" s="193"/>
      <c r="M8" s="193"/>
      <c r="N8" s="193"/>
      <c r="O8" s="193"/>
    </row>
    <row r="10" spans="2:16" ht="15.75" thickBot="1" x14ac:dyDescent="0.3"/>
    <row r="11" spans="2:16" ht="26.25" x14ac:dyDescent="0.25">
      <c r="B11" s="199" t="s">
        <v>81</v>
      </c>
      <c r="C11" s="200" t="s">
        <v>68</v>
      </c>
      <c r="D11" s="200" t="s">
        <v>82</v>
      </c>
      <c r="E11" s="200" t="s">
        <v>59</v>
      </c>
      <c r="F11" s="200" t="s">
        <v>107</v>
      </c>
      <c r="G11" s="200" t="s">
        <v>82</v>
      </c>
      <c r="H11" s="201" t="s">
        <v>59</v>
      </c>
      <c r="J11" s="337" t="s">
        <v>108</v>
      </c>
      <c r="K11" s="194" t="s">
        <v>109</v>
      </c>
      <c r="L11" s="194" t="s">
        <v>110</v>
      </c>
      <c r="M11" s="194" t="s">
        <v>111</v>
      </c>
      <c r="N11" s="194" t="s">
        <v>112</v>
      </c>
      <c r="O11" s="339" t="s">
        <v>113</v>
      </c>
    </row>
    <row r="12" spans="2:16" ht="27" thickBot="1" x14ac:dyDescent="0.3">
      <c r="B12" s="202" t="s">
        <v>114</v>
      </c>
      <c r="C12" s="203">
        <v>2.68</v>
      </c>
      <c r="D12" s="204" t="s">
        <v>115</v>
      </c>
      <c r="E12" s="205"/>
      <c r="F12" s="203">
        <v>1.042</v>
      </c>
      <c r="G12" s="204" t="s">
        <v>115</v>
      </c>
      <c r="H12" s="73"/>
      <c r="J12" s="338"/>
      <c r="K12" s="195" t="s">
        <v>116</v>
      </c>
      <c r="L12" s="195" t="s">
        <v>117</v>
      </c>
      <c r="M12" s="195" t="s">
        <v>118</v>
      </c>
      <c r="N12" s="195" t="s">
        <v>119</v>
      </c>
      <c r="O12" s="340"/>
    </row>
    <row r="13" spans="2:16" ht="27" thickBot="1" x14ac:dyDescent="0.3">
      <c r="B13" s="202" t="s">
        <v>120</v>
      </c>
      <c r="C13" s="203">
        <v>0.6232779220779221</v>
      </c>
      <c r="D13" s="204" t="s">
        <v>115</v>
      </c>
      <c r="E13" s="205"/>
      <c r="F13" s="203">
        <v>0.36</v>
      </c>
      <c r="G13" s="204" t="s">
        <v>115</v>
      </c>
      <c r="H13" s="73"/>
      <c r="J13" s="196" t="s">
        <v>72</v>
      </c>
      <c r="K13" s="197" t="s">
        <v>121</v>
      </c>
      <c r="L13" s="197">
        <v>3</v>
      </c>
      <c r="M13" s="197">
        <v>900</v>
      </c>
      <c r="N13" s="197">
        <v>986</v>
      </c>
      <c r="O13" s="198">
        <v>0.25</v>
      </c>
      <c r="P13" s="8"/>
    </row>
    <row r="14" spans="2:16" ht="26.25" thickBot="1" x14ac:dyDescent="0.3">
      <c r="B14" s="202" t="s">
        <v>122</v>
      </c>
      <c r="C14" s="203">
        <v>0.46500000000000002</v>
      </c>
      <c r="D14" s="204" t="s">
        <v>123</v>
      </c>
      <c r="E14" s="205"/>
      <c r="F14" s="203">
        <v>0.13</v>
      </c>
      <c r="G14" s="204" t="s">
        <v>123</v>
      </c>
      <c r="H14" s="74"/>
      <c r="J14" s="196" t="s">
        <v>3</v>
      </c>
      <c r="K14" s="197" t="s">
        <v>124</v>
      </c>
      <c r="L14" s="197">
        <v>3</v>
      </c>
      <c r="M14" s="197">
        <v>3600</v>
      </c>
      <c r="N14" s="197">
        <v>3800</v>
      </c>
      <c r="O14" s="198">
        <v>0.25</v>
      </c>
      <c r="P14" s="8"/>
    </row>
    <row r="15" spans="2:16" ht="27" thickBot="1" x14ac:dyDescent="0.3">
      <c r="B15" s="202" t="s">
        <v>125</v>
      </c>
      <c r="C15" s="206">
        <v>330</v>
      </c>
      <c r="D15" s="204" t="s">
        <v>126</v>
      </c>
      <c r="E15" s="205" t="s">
        <v>127</v>
      </c>
      <c r="F15" s="206">
        <v>120</v>
      </c>
      <c r="G15" s="204" t="s">
        <v>126</v>
      </c>
      <c r="H15" s="73"/>
      <c r="J15" s="196" t="s">
        <v>128</v>
      </c>
      <c r="K15" s="197" t="s">
        <v>124</v>
      </c>
      <c r="L15" s="197">
        <v>2</v>
      </c>
      <c r="M15" s="197">
        <v>2400</v>
      </c>
      <c r="N15" s="197">
        <v>2534</v>
      </c>
      <c r="O15" s="198">
        <v>0.25</v>
      </c>
      <c r="P15" s="72"/>
    </row>
    <row r="16" spans="2:16" ht="27" thickBot="1" x14ac:dyDescent="0.3">
      <c r="B16" s="202" t="s">
        <v>129</v>
      </c>
      <c r="C16" s="206">
        <v>360</v>
      </c>
      <c r="D16" s="204" t="s">
        <v>126</v>
      </c>
      <c r="E16" s="205" t="s">
        <v>127</v>
      </c>
      <c r="F16" s="206">
        <v>130</v>
      </c>
      <c r="G16" s="204" t="s">
        <v>126</v>
      </c>
      <c r="H16" s="73"/>
      <c r="J16" s="196" t="s">
        <v>130</v>
      </c>
      <c r="K16" s="197" t="s">
        <v>124</v>
      </c>
      <c r="L16" s="197">
        <v>3</v>
      </c>
      <c r="M16" s="197">
        <v>3600</v>
      </c>
      <c r="N16" s="197">
        <v>3768</v>
      </c>
      <c r="O16" s="198">
        <v>0.25</v>
      </c>
      <c r="P16" s="8"/>
    </row>
    <row r="17" spans="2:16" ht="27" thickBot="1" x14ac:dyDescent="0.3">
      <c r="B17" s="202" t="s">
        <v>131</v>
      </c>
      <c r="C17" s="206">
        <v>330</v>
      </c>
      <c r="D17" s="204" t="s">
        <v>126</v>
      </c>
      <c r="E17" s="205" t="s">
        <v>127</v>
      </c>
      <c r="F17" s="206">
        <v>120</v>
      </c>
      <c r="G17" s="204" t="s">
        <v>126</v>
      </c>
      <c r="H17" s="73"/>
      <c r="J17" s="196" t="s">
        <v>75</v>
      </c>
      <c r="K17" s="197" t="s">
        <v>124</v>
      </c>
      <c r="L17" s="197">
        <v>2</v>
      </c>
      <c r="M17" s="197">
        <v>2400</v>
      </c>
      <c r="N17" s="197">
        <v>2560</v>
      </c>
      <c r="O17" s="198">
        <v>0.25</v>
      </c>
      <c r="P17" s="8"/>
    </row>
    <row r="18" spans="2:16" ht="35.25" customHeight="1" thickBot="1" x14ac:dyDescent="0.3">
      <c r="B18" s="202" t="s">
        <v>132</v>
      </c>
      <c r="C18" s="207">
        <v>70.967741935483872</v>
      </c>
      <c r="D18" s="204" t="s">
        <v>133</v>
      </c>
      <c r="E18" s="205" t="s">
        <v>134</v>
      </c>
      <c r="F18" s="335" t="s">
        <v>135</v>
      </c>
      <c r="G18" s="336"/>
      <c r="H18" s="208"/>
      <c r="J18" s="196" t="s">
        <v>76</v>
      </c>
      <c r="K18" s="197" t="s">
        <v>136</v>
      </c>
      <c r="L18" s="197">
        <v>2</v>
      </c>
      <c r="M18" s="197">
        <v>160</v>
      </c>
      <c r="N18" s="197">
        <v>191</v>
      </c>
      <c r="O18" s="198">
        <v>0.25</v>
      </c>
      <c r="P18" s="8"/>
    </row>
    <row r="19" spans="2:16" ht="29.25" customHeight="1" x14ac:dyDescent="0.25">
      <c r="B19" s="202" t="s">
        <v>137</v>
      </c>
      <c r="C19" s="203">
        <v>0.46500238891543239</v>
      </c>
      <c r="D19" s="204" t="s">
        <v>123</v>
      </c>
      <c r="E19" s="205"/>
      <c r="F19" s="203">
        <v>0</v>
      </c>
      <c r="G19" s="204" t="s">
        <v>123</v>
      </c>
      <c r="H19" s="208" t="s">
        <v>138</v>
      </c>
    </row>
    <row r="20" spans="2:16" ht="29.25" customHeight="1" x14ac:dyDescent="0.25">
      <c r="B20" s="202" t="s">
        <v>139</v>
      </c>
      <c r="C20" s="203">
        <v>2.8861855670103091</v>
      </c>
      <c r="D20" s="204" t="s">
        <v>140</v>
      </c>
      <c r="E20" s="205"/>
      <c r="F20" s="203">
        <v>1.59</v>
      </c>
      <c r="G20" s="204" t="s">
        <v>140</v>
      </c>
      <c r="H20" s="73"/>
    </row>
    <row r="21" spans="2:16" ht="29.25" customHeight="1" x14ac:dyDescent="0.25">
      <c r="B21" s="202" t="s">
        <v>141</v>
      </c>
      <c r="C21" s="203">
        <v>2.8861855670103091</v>
      </c>
      <c r="D21" s="204" t="s">
        <v>140</v>
      </c>
      <c r="E21" s="205"/>
      <c r="F21" s="203">
        <v>1.59</v>
      </c>
      <c r="G21" s="204" t="s">
        <v>140</v>
      </c>
      <c r="H21" s="73"/>
    </row>
    <row r="22" spans="2:16" ht="43.5" customHeight="1" x14ac:dyDescent="0.25">
      <c r="B22" s="202" t="s">
        <v>142</v>
      </c>
      <c r="C22" s="207">
        <v>63.73</v>
      </c>
      <c r="D22" s="204" t="s">
        <v>140</v>
      </c>
      <c r="E22" s="205" t="s">
        <v>143</v>
      </c>
      <c r="F22" s="209"/>
      <c r="G22" s="210" t="s">
        <v>140</v>
      </c>
      <c r="H22" s="73"/>
    </row>
    <row r="23" spans="2:16" ht="35.25" customHeight="1" x14ac:dyDescent="0.25">
      <c r="B23" s="202" t="s">
        <v>144</v>
      </c>
      <c r="C23" s="207">
        <v>30</v>
      </c>
      <c r="D23" s="204" t="s">
        <v>145</v>
      </c>
      <c r="E23" s="205"/>
      <c r="F23" s="335" t="s">
        <v>135</v>
      </c>
      <c r="G23" s="336"/>
      <c r="H23" s="208"/>
    </row>
    <row r="24" spans="2:16" x14ac:dyDescent="0.25">
      <c r="B24" s="202" t="s">
        <v>146</v>
      </c>
      <c r="C24" s="207">
        <v>16.853333333333332</v>
      </c>
      <c r="D24" s="204" t="s">
        <v>145</v>
      </c>
      <c r="E24" s="205"/>
      <c r="F24" s="203">
        <v>5.29</v>
      </c>
      <c r="G24" s="204" t="s">
        <v>145</v>
      </c>
      <c r="H24" s="208" t="s">
        <v>147</v>
      </c>
    </row>
    <row r="25" spans="2:16" ht="43.5" customHeight="1" x14ac:dyDescent="0.25">
      <c r="B25" s="202" t="s">
        <v>148</v>
      </c>
      <c r="C25" s="203">
        <v>3.6154937772749314</v>
      </c>
      <c r="D25" s="204" t="s">
        <v>115</v>
      </c>
      <c r="E25" s="205"/>
      <c r="F25" s="211">
        <v>2.5</v>
      </c>
      <c r="G25" s="210" t="s">
        <v>115</v>
      </c>
      <c r="H25" s="73"/>
    </row>
    <row r="26" spans="2:16" ht="26.25" x14ac:dyDescent="0.25">
      <c r="B26" s="202" t="s">
        <v>149</v>
      </c>
      <c r="C26" s="203">
        <v>2.0762831930880576</v>
      </c>
      <c r="D26" s="204" t="s">
        <v>115</v>
      </c>
      <c r="E26" s="205"/>
      <c r="F26" s="211">
        <v>0.6</v>
      </c>
      <c r="G26" s="210" t="s">
        <v>115</v>
      </c>
      <c r="H26" s="73"/>
    </row>
    <row r="27" spans="2:16" ht="30.75" customHeight="1" x14ac:dyDescent="0.25">
      <c r="B27" s="202" t="s">
        <v>150</v>
      </c>
      <c r="C27" s="207">
        <v>43.43333333333333</v>
      </c>
      <c r="D27" s="204" t="s">
        <v>133</v>
      </c>
      <c r="E27" s="205"/>
      <c r="F27" s="335" t="s">
        <v>135</v>
      </c>
      <c r="G27" s="336"/>
      <c r="H27" s="212"/>
    </row>
    <row r="28" spans="2:16" ht="28.5" customHeight="1" x14ac:dyDescent="0.25">
      <c r="B28" s="202" t="s">
        <v>151</v>
      </c>
      <c r="C28" s="203">
        <v>2.8888906250000002</v>
      </c>
      <c r="D28" s="204" t="s">
        <v>145</v>
      </c>
      <c r="E28" s="204"/>
      <c r="F28" s="335" t="s">
        <v>135</v>
      </c>
      <c r="G28" s="336"/>
      <c r="H28" s="208"/>
    </row>
    <row r="29" spans="2:16" ht="27.75" customHeight="1" x14ac:dyDescent="0.25">
      <c r="B29" s="202" t="s">
        <v>152</v>
      </c>
      <c r="C29" s="206">
        <v>171.60011574074073</v>
      </c>
      <c r="D29" s="204" t="s">
        <v>133</v>
      </c>
      <c r="E29" s="205"/>
      <c r="F29" s="335" t="s">
        <v>135</v>
      </c>
      <c r="G29" s="336"/>
      <c r="H29" s="208"/>
    </row>
    <row r="30" spans="2:16" ht="26.25" x14ac:dyDescent="0.25">
      <c r="B30" s="202" t="s">
        <v>153</v>
      </c>
      <c r="C30" s="207">
        <v>35.027777777777786</v>
      </c>
      <c r="D30" s="204" t="s">
        <v>126</v>
      </c>
      <c r="E30" s="205" t="s">
        <v>154</v>
      </c>
      <c r="F30" s="209">
        <v>12.9</v>
      </c>
      <c r="G30" s="210" t="s">
        <v>126</v>
      </c>
      <c r="H30" s="73"/>
    </row>
    <row r="31" spans="2:16" ht="26.25" x14ac:dyDescent="0.25">
      <c r="B31" s="202" t="s">
        <v>155</v>
      </c>
      <c r="C31" s="206">
        <v>222</v>
      </c>
      <c r="D31" s="204" t="s">
        <v>126</v>
      </c>
      <c r="E31" s="205" t="s">
        <v>156</v>
      </c>
      <c r="F31" s="335" t="s">
        <v>135</v>
      </c>
      <c r="G31" s="336"/>
      <c r="H31" s="73"/>
    </row>
    <row r="32" spans="2:16" ht="26.25" x14ac:dyDescent="0.25">
      <c r="B32" s="202" t="s">
        <v>157</v>
      </c>
      <c r="C32" s="207">
        <v>50</v>
      </c>
      <c r="D32" s="204" t="s">
        <v>126</v>
      </c>
      <c r="E32" s="205" t="s">
        <v>158</v>
      </c>
      <c r="F32" s="207">
        <v>14.620000000000001</v>
      </c>
      <c r="G32" s="204" t="s">
        <v>126</v>
      </c>
      <c r="H32" s="73"/>
    </row>
    <row r="33" spans="2:8" ht="26.25" x14ac:dyDescent="0.25">
      <c r="B33" s="202" t="s">
        <v>159</v>
      </c>
      <c r="C33" s="207">
        <v>17.335253077975377</v>
      </c>
      <c r="D33" s="204" t="s">
        <v>145</v>
      </c>
      <c r="E33" s="204"/>
      <c r="F33" s="211">
        <v>1.9874400000000001</v>
      </c>
      <c r="G33" s="210" t="s">
        <v>145</v>
      </c>
      <c r="H33" s="208" t="s">
        <v>160</v>
      </c>
    </row>
    <row r="34" spans="2:8" x14ac:dyDescent="0.25">
      <c r="B34" s="202" t="s">
        <v>161</v>
      </c>
      <c r="C34" s="203">
        <v>5.04</v>
      </c>
      <c r="D34" s="204" t="s">
        <v>145</v>
      </c>
      <c r="E34" s="205"/>
      <c r="F34" s="211">
        <v>1.1000000000000001</v>
      </c>
      <c r="G34" s="210" t="s">
        <v>145</v>
      </c>
      <c r="H34" s="208" t="s">
        <v>162</v>
      </c>
    </row>
    <row r="35" spans="2:8" ht="26.25" x14ac:dyDescent="0.25">
      <c r="B35" s="202" t="s">
        <v>163</v>
      </c>
      <c r="C35" s="203">
        <v>9.1778703703703712</v>
      </c>
      <c r="D35" s="204" t="s">
        <v>145</v>
      </c>
      <c r="E35" s="205"/>
      <c r="F35" s="203">
        <v>2.8888906250000002</v>
      </c>
      <c r="G35" s="204" t="s">
        <v>145</v>
      </c>
      <c r="H35" s="208" t="s">
        <v>164</v>
      </c>
    </row>
    <row r="36" spans="2:8" ht="30" customHeight="1" x14ac:dyDescent="0.25">
      <c r="B36" s="202" t="s">
        <v>165</v>
      </c>
      <c r="C36" s="213">
        <v>3.13E-3</v>
      </c>
      <c r="D36" s="204" t="s">
        <v>123</v>
      </c>
      <c r="E36" s="205"/>
      <c r="F36" s="335" t="s">
        <v>135</v>
      </c>
      <c r="G36" s="336"/>
      <c r="H36" s="208"/>
    </row>
    <row r="37" spans="2:8" x14ac:dyDescent="0.25">
      <c r="B37" s="202" t="s">
        <v>166</v>
      </c>
      <c r="C37" s="203">
        <v>4.3119914105203376</v>
      </c>
      <c r="D37" s="204" t="s">
        <v>133</v>
      </c>
      <c r="E37" s="205" t="s">
        <v>167</v>
      </c>
      <c r="F37" s="203">
        <v>1.1000000000000001</v>
      </c>
      <c r="G37" s="204" t="s">
        <v>133</v>
      </c>
      <c r="H37" s="208" t="s">
        <v>162</v>
      </c>
    </row>
    <row r="38" spans="2:8" ht="26.25" x14ac:dyDescent="0.25">
      <c r="B38" s="202" t="s">
        <v>168</v>
      </c>
      <c r="C38" s="207">
        <v>11.106173913043479</v>
      </c>
      <c r="D38" s="204" t="s">
        <v>145</v>
      </c>
      <c r="E38" s="204"/>
      <c r="F38" s="203">
        <v>2.0820799999999999</v>
      </c>
      <c r="G38" s="204" t="s">
        <v>145</v>
      </c>
      <c r="H38" s="208" t="s">
        <v>169</v>
      </c>
    </row>
    <row r="39" spans="2:8" ht="26.25" x14ac:dyDescent="0.25">
      <c r="B39" s="202" t="s">
        <v>170</v>
      </c>
      <c r="C39" s="207">
        <v>31.082845417236665</v>
      </c>
      <c r="D39" s="204" t="s">
        <v>145</v>
      </c>
      <c r="E39" s="204"/>
      <c r="F39" s="203">
        <v>1.9874400000000001</v>
      </c>
      <c r="G39" s="204" t="s">
        <v>145</v>
      </c>
      <c r="H39" s="208" t="s">
        <v>160</v>
      </c>
    </row>
    <row r="40" spans="2:8" x14ac:dyDescent="0.25">
      <c r="B40" s="202" t="s">
        <v>171</v>
      </c>
      <c r="C40" s="203">
        <v>9.08</v>
      </c>
      <c r="D40" s="204" t="s">
        <v>145</v>
      </c>
      <c r="E40" s="205"/>
      <c r="F40" s="203">
        <v>3.55</v>
      </c>
      <c r="G40" s="204" t="s">
        <v>145</v>
      </c>
      <c r="H40" s="208"/>
    </row>
    <row r="41" spans="2:8" ht="26.25" x14ac:dyDescent="0.25">
      <c r="B41" s="202" t="s">
        <v>172</v>
      </c>
      <c r="C41" s="203">
        <v>1.7630000000000001</v>
      </c>
      <c r="D41" s="204" t="s">
        <v>145</v>
      </c>
      <c r="E41" s="205"/>
      <c r="F41" s="335" t="s">
        <v>135</v>
      </c>
      <c r="G41" s="336"/>
      <c r="H41" s="208"/>
    </row>
    <row r="42" spans="2:8" ht="27" customHeight="1" x14ac:dyDescent="0.25">
      <c r="B42" s="202" t="s">
        <v>173</v>
      </c>
      <c r="C42" s="203">
        <v>1.7052611940298508</v>
      </c>
      <c r="D42" s="204" t="s">
        <v>140</v>
      </c>
      <c r="E42" s="205"/>
      <c r="F42" s="335" t="s">
        <v>135</v>
      </c>
      <c r="G42" s="336"/>
      <c r="H42" s="212"/>
    </row>
    <row r="43" spans="2:8" ht="26.25" x14ac:dyDescent="0.25">
      <c r="B43" s="202" t="s">
        <v>174</v>
      </c>
      <c r="C43" s="203">
        <v>0.60750000000000004</v>
      </c>
      <c r="D43" s="204" t="s">
        <v>145</v>
      </c>
      <c r="E43" s="205"/>
      <c r="F43" s="214">
        <v>0</v>
      </c>
      <c r="G43" s="210" t="s">
        <v>145</v>
      </c>
      <c r="H43" s="208" t="s">
        <v>175</v>
      </c>
    </row>
    <row r="44" spans="2:8" x14ac:dyDescent="0.25">
      <c r="B44" s="202" t="s">
        <v>176</v>
      </c>
      <c r="C44" s="203">
        <v>5.418026315789473</v>
      </c>
      <c r="D44" s="204" t="s">
        <v>145</v>
      </c>
      <c r="E44" s="205" t="s">
        <v>177</v>
      </c>
      <c r="F44" s="203">
        <v>1.9874400000000001</v>
      </c>
      <c r="G44" s="204" t="s">
        <v>145</v>
      </c>
      <c r="H44" s="208"/>
    </row>
    <row r="45" spans="2:8" ht="29.25" customHeight="1" x14ac:dyDescent="0.25">
      <c r="B45" s="202" t="s">
        <v>178</v>
      </c>
      <c r="C45" s="203">
        <v>1.99</v>
      </c>
      <c r="D45" s="204" t="s">
        <v>123</v>
      </c>
      <c r="E45" s="205"/>
      <c r="F45" s="335" t="s">
        <v>135</v>
      </c>
      <c r="G45" s="336"/>
      <c r="H45" s="208"/>
    </row>
    <row r="46" spans="2:8" ht="15.75" thickBot="1" x14ac:dyDescent="0.3">
      <c r="B46" s="215" t="s">
        <v>179</v>
      </c>
      <c r="C46" s="216">
        <v>6.7532500000000004</v>
      </c>
      <c r="D46" s="217" t="s">
        <v>145</v>
      </c>
      <c r="E46" s="217"/>
      <c r="F46" s="216">
        <v>5.29</v>
      </c>
      <c r="G46" s="217" t="s">
        <v>145</v>
      </c>
      <c r="H46" s="218"/>
    </row>
  </sheetData>
  <sheetProtection algorithmName="SHA-512" hashValue="VfYhnwEZHeAj6s70CyrHS+yuiNvinV0seKkFpIvpr9321jKBAFxxQjJbVqPftYAlJTFRHh+YHPulheyAGGSjOQ==" saltValue="0Ky+uaV8oDR/LKEaiODvcA==" spinCount="100000" sheet="1" objects="1" scenarios="1"/>
  <mergeCells count="12">
    <mergeCell ref="F45:G45"/>
    <mergeCell ref="J11:J12"/>
    <mergeCell ref="O11:O12"/>
    <mergeCell ref="F18:G18"/>
    <mergeCell ref="F23:G23"/>
    <mergeCell ref="F27:G27"/>
    <mergeCell ref="F28:G28"/>
    <mergeCell ref="F29:G29"/>
    <mergeCell ref="F31:G31"/>
    <mergeCell ref="F36:G36"/>
    <mergeCell ref="F41:G41"/>
    <mergeCell ref="F42:G4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AP56"/>
  <sheetViews>
    <sheetView showGridLines="0" zoomScale="85" zoomScaleNormal="85" workbookViewId="0">
      <pane ySplit="12" topLeftCell="A13" activePane="bottomLeft" state="frozen"/>
      <selection pane="bottomLeft" activeCell="C17" sqref="C17:C18"/>
    </sheetView>
  </sheetViews>
  <sheetFormatPr baseColWidth="10" defaultColWidth="11.42578125" defaultRowHeight="15" x14ac:dyDescent="0.25"/>
  <cols>
    <col min="2" max="2" width="14" customWidth="1"/>
    <col min="3" max="3" width="13.85546875" customWidth="1"/>
    <col min="4" max="4" width="17.7109375" customWidth="1"/>
    <col min="5" max="5" width="27" customWidth="1"/>
    <col min="8" max="8" width="13.140625" customWidth="1"/>
    <col min="9" max="9" width="23" customWidth="1"/>
    <col min="10" max="10" width="18" customWidth="1"/>
    <col min="11" max="11" width="34" bestFit="1" customWidth="1"/>
    <col min="14" max="14" width="12.7109375" customWidth="1"/>
    <col min="15" max="15" width="22.5703125" customWidth="1"/>
    <col min="16" max="16" width="25.140625" customWidth="1"/>
    <col min="17" max="17" width="48.5703125" bestFit="1" customWidth="1"/>
    <col min="21" max="21" width="22.140625" customWidth="1"/>
    <col min="22" max="22" width="24.28515625" customWidth="1"/>
    <col min="23" max="23" width="34" bestFit="1" customWidth="1"/>
    <col min="27" max="27" width="32.140625" customWidth="1"/>
    <col min="28" max="28" width="22.7109375" customWidth="1"/>
    <col min="29" max="29" width="34" bestFit="1" customWidth="1"/>
    <col min="33" max="33" width="23.85546875" customWidth="1"/>
    <col min="34" max="34" width="27.5703125" bestFit="1" customWidth="1"/>
    <col min="35" max="35" width="34" bestFit="1" customWidth="1"/>
    <col min="39" max="39" width="17.85546875" customWidth="1"/>
    <col min="40" max="40" width="21.42578125" bestFit="1" customWidth="1"/>
    <col min="41" max="41" width="24.85546875" bestFit="1" customWidth="1"/>
    <col min="42" max="42" width="34" bestFit="1" customWidth="1"/>
  </cols>
  <sheetData>
    <row r="10" spans="1:42" ht="15.75" thickBot="1" x14ac:dyDescent="0.3"/>
    <row r="11" spans="1:42" ht="15.75" thickBot="1" x14ac:dyDescent="0.3">
      <c r="A11" s="357" t="s">
        <v>180</v>
      </c>
      <c r="B11" s="358"/>
      <c r="C11" s="352" t="s">
        <v>181</v>
      </c>
      <c r="D11" s="353"/>
      <c r="E11" s="354" t="s">
        <v>182</v>
      </c>
      <c r="G11" s="357" t="s">
        <v>72</v>
      </c>
      <c r="H11" s="358"/>
      <c r="I11" s="352" t="s">
        <v>183</v>
      </c>
      <c r="J11" s="353"/>
      <c r="K11" s="354" t="s">
        <v>182</v>
      </c>
      <c r="M11" s="357" t="s">
        <v>184</v>
      </c>
      <c r="N11" s="358"/>
      <c r="O11" s="352" t="s">
        <v>183</v>
      </c>
      <c r="P11" s="353"/>
      <c r="Q11" s="354" t="s">
        <v>182</v>
      </c>
      <c r="S11" s="357" t="s">
        <v>185</v>
      </c>
      <c r="T11" s="358"/>
      <c r="U11" s="352" t="s">
        <v>183</v>
      </c>
      <c r="V11" s="353"/>
      <c r="W11" s="354" t="s">
        <v>182</v>
      </c>
      <c r="Y11" s="357" t="s">
        <v>76</v>
      </c>
      <c r="Z11" s="358"/>
      <c r="AA11" s="352" t="s">
        <v>183</v>
      </c>
      <c r="AB11" s="353"/>
      <c r="AC11" s="354" t="s">
        <v>182</v>
      </c>
      <c r="AE11" s="357" t="s">
        <v>75</v>
      </c>
      <c r="AF11" s="358"/>
      <c r="AG11" s="352" t="s">
        <v>183</v>
      </c>
      <c r="AH11" s="353"/>
      <c r="AI11" s="354" t="s">
        <v>182</v>
      </c>
      <c r="AK11" s="357" t="s">
        <v>186</v>
      </c>
      <c r="AL11" s="358"/>
      <c r="AM11" s="352" t="s">
        <v>183</v>
      </c>
      <c r="AN11" s="353"/>
      <c r="AO11" s="222"/>
      <c r="AP11" s="354" t="s">
        <v>182</v>
      </c>
    </row>
    <row r="12" spans="1:42" ht="15.75" thickBot="1" x14ac:dyDescent="0.3">
      <c r="A12" s="359"/>
      <c r="B12" s="360"/>
      <c r="C12" s="57" t="s">
        <v>187</v>
      </c>
      <c r="D12" s="57" t="s">
        <v>188</v>
      </c>
      <c r="E12" s="355"/>
      <c r="G12" s="359"/>
      <c r="H12" s="360"/>
      <c r="I12" s="57" t="s">
        <v>187</v>
      </c>
      <c r="J12" s="57" t="s">
        <v>188</v>
      </c>
      <c r="K12" s="355"/>
      <c r="M12" s="359"/>
      <c r="N12" s="360"/>
      <c r="O12" s="57" t="s">
        <v>187</v>
      </c>
      <c r="P12" s="57" t="s">
        <v>188</v>
      </c>
      <c r="Q12" s="355"/>
      <c r="S12" s="359"/>
      <c r="T12" s="360"/>
      <c r="U12" s="57" t="s">
        <v>187</v>
      </c>
      <c r="V12" s="57" t="s">
        <v>188</v>
      </c>
      <c r="W12" s="355"/>
      <c r="Y12" s="359"/>
      <c r="Z12" s="360"/>
      <c r="AA12" s="57" t="s">
        <v>187</v>
      </c>
      <c r="AB12" s="57" t="s">
        <v>188</v>
      </c>
      <c r="AC12" s="355"/>
      <c r="AE12" s="359"/>
      <c r="AF12" s="360"/>
      <c r="AG12" s="57" t="s">
        <v>187</v>
      </c>
      <c r="AH12" s="57" t="s">
        <v>188</v>
      </c>
      <c r="AI12" s="355"/>
      <c r="AK12" s="359"/>
      <c r="AL12" s="360"/>
      <c r="AM12" s="57" t="s">
        <v>187</v>
      </c>
      <c r="AN12" s="57" t="s">
        <v>189</v>
      </c>
      <c r="AO12" s="57" t="s">
        <v>190</v>
      </c>
      <c r="AP12" s="355"/>
    </row>
    <row r="13" spans="1:42" ht="24.75" thickBot="1" x14ac:dyDescent="0.3">
      <c r="A13" s="356" t="s">
        <v>191</v>
      </c>
      <c r="B13" s="356" t="s">
        <v>192</v>
      </c>
      <c r="C13" s="59" t="s">
        <v>193</v>
      </c>
      <c r="D13" s="60" t="s">
        <v>194</v>
      </c>
      <c r="E13" s="345" t="s">
        <v>195</v>
      </c>
      <c r="G13" s="356" t="s">
        <v>191</v>
      </c>
      <c r="H13" s="356" t="s">
        <v>192</v>
      </c>
      <c r="I13" s="59" t="s">
        <v>193</v>
      </c>
      <c r="J13" s="60" t="s">
        <v>196</v>
      </c>
      <c r="K13" s="345" t="s">
        <v>197</v>
      </c>
      <c r="M13" s="356" t="s">
        <v>191</v>
      </c>
      <c r="N13" s="356" t="s">
        <v>192</v>
      </c>
      <c r="O13" s="59" t="s">
        <v>193</v>
      </c>
      <c r="P13" s="76" t="s">
        <v>198</v>
      </c>
      <c r="Q13" s="345" t="s">
        <v>199</v>
      </c>
      <c r="S13" s="356" t="s">
        <v>191</v>
      </c>
      <c r="T13" s="356" t="s">
        <v>192</v>
      </c>
      <c r="U13" s="59" t="s">
        <v>193</v>
      </c>
      <c r="V13" s="75" t="s">
        <v>200</v>
      </c>
      <c r="W13" s="345" t="s">
        <v>195</v>
      </c>
      <c r="Y13" s="356" t="s">
        <v>191</v>
      </c>
      <c r="Z13" s="356" t="s">
        <v>192</v>
      </c>
      <c r="AA13" s="63" t="s">
        <v>193</v>
      </c>
      <c r="AB13" s="64">
        <v>0</v>
      </c>
      <c r="AC13" s="345"/>
      <c r="AE13" s="356" t="s">
        <v>191</v>
      </c>
      <c r="AF13" s="356" t="s">
        <v>192</v>
      </c>
      <c r="AG13" s="59" t="s">
        <v>193</v>
      </c>
      <c r="AH13" s="79" t="s">
        <v>201</v>
      </c>
      <c r="AI13" s="345" t="s">
        <v>202</v>
      </c>
      <c r="AK13" s="356" t="s">
        <v>191</v>
      </c>
      <c r="AL13" s="356" t="s">
        <v>192</v>
      </c>
      <c r="AM13" s="59" t="s">
        <v>193</v>
      </c>
      <c r="AN13" s="79" t="s">
        <v>203</v>
      </c>
      <c r="AO13" s="79" t="s">
        <v>203</v>
      </c>
      <c r="AP13" s="345" t="s">
        <v>204</v>
      </c>
    </row>
    <row r="14" spans="1:42" ht="15.75" thickBot="1" x14ac:dyDescent="0.3">
      <c r="A14" s="347"/>
      <c r="B14" s="346"/>
      <c r="C14" s="59" t="s">
        <v>205</v>
      </c>
      <c r="D14" s="60" t="s">
        <v>206</v>
      </c>
      <c r="E14" s="347"/>
      <c r="G14" s="347"/>
      <c r="H14" s="346"/>
      <c r="I14" s="59" t="s">
        <v>205</v>
      </c>
      <c r="J14" s="78">
        <v>0</v>
      </c>
      <c r="K14" s="347"/>
      <c r="M14" s="347"/>
      <c r="N14" s="346"/>
      <c r="O14" s="59" t="s">
        <v>205</v>
      </c>
      <c r="P14" s="76" t="s">
        <v>207</v>
      </c>
      <c r="Q14" s="347"/>
      <c r="S14" s="347"/>
      <c r="T14" s="346"/>
      <c r="U14" s="59" t="s">
        <v>205</v>
      </c>
      <c r="V14" s="75" t="s">
        <v>208</v>
      </c>
      <c r="W14" s="347"/>
      <c r="Y14" s="347"/>
      <c r="Z14" s="347"/>
      <c r="AA14" s="63" t="s">
        <v>205</v>
      </c>
      <c r="AB14" s="78">
        <v>0</v>
      </c>
      <c r="AC14" s="347"/>
      <c r="AE14" s="347"/>
      <c r="AF14" s="346"/>
      <c r="AG14" s="59" t="s">
        <v>205</v>
      </c>
      <c r="AH14" s="64">
        <v>0</v>
      </c>
      <c r="AI14" s="347"/>
      <c r="AK14" s="347"/>
      <c r="AL14" s="346"/>
      <c r="AM14" s="59" t="s">
        <v>205</v>
      </c>
      <c r="AN14" s="60">
        <v>0</v>
      </c>
      <c r="AO14" s="60">
        <v>0</v>
      </c>
      <c r="AP14" s="347"/>
    </row>
    <row r="15" spans="1:42" ht="24.75" thickBot="1" x14ac:dyDescent="0.3">
      <c r="A15" s="347"/>
      <c r="B15" s="345" t="s">
        <v>209</v>
      </c>
      <c r="C15" s="59" t="s">
        <v>210</v>
      </c>
      <c r="D15" s="60" t="s">
        <v>211</v>
      </c>
      <c r="E15" s="347"/>
      <c r="G15" s="347"/>
      <c r="H15" s="345" t="s">
        <v>209</v>
      </c>
      <c r="I15" s="59" t="s">
        <v>210</v>
      </c>
      <c r="J15" s="75" t="s">
        <v>212</v>
      </c>
      <c r="K15" s="347"/>
      <c r="M15" s="347"/>
      <c r="N15" s="345" t="s">
        <v>209</v>
      </c>
      <c r="O15" s="59" t="s">
        <v>210</v>
      </c>
      <c r="P15" s="76" t="s">
        <v>213</v>
      </c>
      <c r="Q15" s="347"/>
      <c r="S15" s="347"/>
      <c r="T15" s="345" t="s">
        <v>209</v>
      </c>
      <c r="U15" s="59" t="s">
        <v>210</v>
      </c>
      <c r="V15" s="75" t="s">
        <v>214</v>
      </c>
      <c r="W15" s="347"/>
      <c r="Y15" s="347"/>
      <c r="Z15" s="346"/>
      <c r="AA15" s="63" t="s">
        <v>150</v>
      </c>
      <c r="AB15" s="77" t="s">
        <v>215</v>
      </c>
      <c r="AC15" s="347"/>
      <c r="AE15" s="347"/>
      <c r="AF15" s="345" t="s">
        <v>209</v>
      </c>
      <c r="AG15" s="59" t="s">
        <v>210</v>
      </c>
      <c r="AH15" s="79" t="s">
        <v>216</v>
      </c>
      <c r="AI15" s="347"/>
      <c r="AK15" s="347"/>
      <c r="AL15" s="345" t="s">
        <v>209</v>
      </c>
      <c r="AM15" s="59" t="s">
        <v>210</v>
      </c>
      <c r="AN15" s="79" t="s">
        <v>217</v>
      </c>
      <c r="AO15" s="79" t="s">
        <v>217</v>
      </c>
      <c r="AP15" s="347"/>
    </row>
    <row r="16" spans="1:42" ht="15.75" thickBot="1" x14ac:dyDescent="0.3">
      <c r="A16" s="346"/>
      <c r="B16" s="346"/>
      <c r="C16" s="59" t="s">
        <v>218</v>
      </c>
      <c r="D16" s="60" t="s">
        <v>219</v>
      </c>
      <c r="E16" s="346"/>
      <c r="G16" s="346"/>
      <c r="H16" s="346"/>
      <c r="I16" s="59" t="s">
        <v>218</v>
      </c>
      <c r="J16" s="78">
        <v>0</v>
      </c>
      <c r="K16" s="346"/>
      <c r="M16" s="346"/>
      <c r="N16" s="346"/>
      <c r="O16" s="59" t="s">
        <v>218</v>
      </c>
      <c r="P16" s="76" t="s">
        <v>220</v>
      </c>
      <c r="Q16" s="346"/>
      <c r="S16" s="346"/>
      <c r="T16" s="346"/>
      <c r="U16" s="59" t="s">
        <v>218</v>
      </c>
      <c r="V16" s="75" t="s">
        <v>221</v>
      </c>
      <c r="W16" s="346"/>
      <c r="Y16" s="347"/>
      <c r="Z16" s="345" t="s">
        <v>209</v>
      </c>
      <c r="AA16" s="63" t="s">
        <v>210</v>
      </c>
      <c r="AB16" s="77" t="s">
        <v>222</v>
      </c>
      <c r="AC16" s="347"/>
      <c r="AE16" s="346"/>
      <c r="AF16" s="346"/>
      <c r="AG16" s="59" t="s">
        <v>218</v>
      </c>
      <c r="AH16" s="64">
        <v>0</v>
      </c>
      <c r="AI16" s="346"/>
      <c r="AK16" s="346"/>
      <c r="AL16" s="346"/>
      <c r="AM16" s="59" t="s">
        <v>218</v>
      </c>
      <c r="AN16" s="60">
        <v>0</v>
      </c>
      <c r="AO16" s="60">
        <v>0</v>
      </c>
      <c r="AP16" s="346"/>
    </row>
    <row r="17" spans="1:42" ht="72.75" thickBot="1" x14ac:dyDescent="0.3">
      <c r="A17" s="345" t="s">
        <v>223</v>
      </c>
      <c r="B17" s="345" t="s">
        <v>224</v>
      </c>
      <c r="C17" s="345" t="s">
        <v>225</v>
      </c>
      <c r="D17" s="341" t="s">
        <v>226</v>
      </c>
      <c r="E17" s="345"/>
      <c r="G17" s="345" t="s">
        <v>223</v>
      </c>
      <c r="H17" s="345" t="s">
        <v>224</v>
      </c>
      <c r="I17" s="345" t="s">
        <v>225</v>
      </c>
      <c r="J17" s="341" t="s">
        <v>227</v>
      </c>
      <c r="K17" s="345"/>
      <c r="M17" s="345" t="s">
        <v>223</v>
      </c>
      <c r="N17" s="345" t="s">
        <v>224</v>
      </c>
      <c r="O17" s="345" t="s">
        <v>225</v>
      </c>
      <c r="P17" s="341" t="s">
        <v>228</v>
      </c>
      <c r="Q17" s="345"/>
      <c r="S17" s="345" t="s">
        <v>223</v>
      </c>
      <c r="T17" s="345" t="s">
        <v>224</v>
      </c>
      <c r="U17" s="345" t="s">
        <v>225</v>
      </c>
      <c r="V17" s="341" t="s">
        <v>229</v>
      </c>
      <c r="W17" s="345"/>
      <c r="Y17" s="347"/>
      <c r="Z17" s="347"/>
      <c r="AA17" s="63" t="s">
        <v>218</v>
      </c>
      <c r="AB17" s="64">
        <v>0</v>
      </c>
      <c r="AC17" s="347"/>
      <c r="AE17" s="345" t="s">
        <v>223</v>
      </c>
      <c r="AF17" s="345" t="s">
        <v>224</v>
      </c>
      <c r="AG17" s="345" t="s">
        <v>225</v>
      </c>
      <c r="AH17" s="343" t="s">
        <v>230</v>
      </c>
      <c r="AI17" s="348"/>
      <c r="AK17" s="221" t="s">
        <v>223</v>
      </c>
      <c r="AL17" s="59" t="s">
        <v>224</v>
      </c>
      <c r="AM17" s="59" t="s">
        <v>231</v>
      </c>
      <c r="AN17" s="59" t="s">
        <v>232</v>
      </c>
      <c r="AO17" s="59" t="s">
        <v>232</v>
      </c>
      <c r="AP17" s="59"/>
    </row>
    <row r="18" spans="1:42" ht="72.75" thickBot="1" x14ac:dyDescent="0.3">
      <c r="A18" s="347"/>
      <c r="B18" s="347"/>
      <c r="C18" s="346"/>
      <c r="D18" s="342"/>
      <c r="E18" s="346"/>
      <c r="G18" s="347"/>
      <c r="H18" s="347"/>
      <c r="I18" s="346"/>
      <c r="J18" s="342"/>
      <c r="K18" s="346"/>
      <c r="M18" s="347"/>
      <c r="N18" s="347"/>
      <c r="O18" s="346"/>
      <c r="P18" s="342"/>
      <c r="Q18" s="346"/>
      <c r="S18" s="347"/>
      <c r="T18" s="347"/>
      <c r="U18" s="346"/>
      <c r="V18" s="342"/>
      <c r="W18" s="346"/>
      <c r="Y18" s="346"/>
      <c r="Z18" s="346"/>
      <c r="AA18" s="63" t="s">
        <v>233</v>
      </c>
      <c r="AB18" s="64" t="s">
        <v>234</v>
      </c>
      <c r="AC18" s="346"/>
      <c r="AE18" s="347"/>
      <c r="AF18" s="347"/>
      <c r="AG18" s="346"/>
      <c r="AH18" s="344"/>
      <c r="AI18" s="349"/>
      <c r="AK18" s="345" t="s">
        <v>235</v>
      </c>
      <c r="AL18" s="59" t="s">
        <v>236</v>
      </c>
      <c r="AM18" s="59" t="s">
        <v>237</v>
      </c>
      <c r="AN18" s="59" t="s">
        <v>238</v>
      </c>
      <c r="AO18" s="59" t="s">
        <v>239</v>
      </c>
      <c r="AP18" s="59" t="s">
        <v>240</v>
      </c>
    </row>
    <row r="19" spans="1:42" ht="36.75" thickBot="1" x14ac:dyDescent="0.3">
      <c r="A19" s="347"/>
      <c r="B19" s="347"/>
      <c r="C19" s="345" t="s">
        <v>241</v>
      </c>
      <c r="D19" s="341" t="s">
        <v>242</v>
      </c>
      <c r="E19" s="345"/>
      <c r="G19" s="347"/>
      <c r="H19" s="347"/>
      <c r="I19" s="345" t="s">
        <v>241</v>
      </c>
      <c r="J19" s="341" t="s">
        <v>243</v>
      </c>
      <c r="K19" s="345"/>
      <c r="M19" s="347"/>
      <c r="N19" s="347"/>
      <c r="O19" s="345" t="s">
        <v>241</v>
      </c>
      <c r="P19" s="341" t="s">
        <v>228</v>
      </c>
      <c r="Q19" s="345"/>
      <c r="S19" s="347"/>
      <c r="T19" s="347"/>
      <c r="U19" s="345" t="s">
        <v>241</v>
      </c>
      <c r="V19" s="341" t="s">
        <v>244</v>
      </c>
      <c r="W19" s="345"/>
      <c r="Y19" s="345" t="s">
        <v>223</v>
      </c>
      <c r="Z19" s="345" t="s">
        <v>224</v>
      </c>
      <c r="AA19" s="63" t="s">
        <v>225</v>
      </c>
      <c r="AB19" s="65">
        <v>0</v>
      </c>
      <c r="AC19" s="63"/>
      <c r="AE19" s="347"/>
      <c r="AF19" s="347"/>
      <c r="AG19" s="345" t="s">
        <v>241</v>
      </c>
      <c r="AH19" s="343" t="s">
        <v>245</v>
      </c>
      <c r="AI19" s="348"/>
      <c r="AK19" s="347"/>
      <c r="AL19" s="345" t="s">
        <v>246</v>
      </c>
      <c r="AM19" s="59" t="s">
        <v>247</v>
      </c>
      <c r="AN19" s="61" t="s">
        <v>248</v>
      </c>
      <c r="AO19" s="61" t="s">
        <v>248</v>
      </c>
      <c r="AP19" s="59" t="s">
        <v>249</v>
      </c>
    </row>
    <row r="20" spans="1:42" ht="24.75" thickBot="1" x14ac:dyDescent="0.3">
      <c r="A20" s="347"/>
      <c r="B20" s="346"/>
      <c r="C20" s="346"/>
      <c r="D20" s="342"/>
      <c r="E20" s="346"/>
      <c r="G20" s="347"/>
      <c r="H20" s="346"/>
      <c r="I20" s="346"/>
      <c r="J20" s="342"/>
      <c r="K20" s="346"/>
      <c r="M20" s="347"/>
      <c r="N20" s="346"/>
      <c r="O20" s="346"/>
      <c r="P20" s="342"/>
      <c r="Q20" s="346"/>
      <c r="S20" s="347"/>
      <c r="T20" s="346"/>
      <c r="U20" s="346"/>
      <c r="V20" s="342"/>
      <c r="W20" s="346"/>
      <c r="Y20" s="347"/>
      <c r="Z20" s="347"/>
      <c r="AA20" s="348" t="s">
        <v>241</v>
      </c>
      <c r="AB20" s="343" t="s">
        <v>250</v>
      </c>
      <c r="AC20" s="348"/>
      <c r="AE20" s="347"/>
      <c r="AF20" s="346"/>
      <c r="AG20" s="346"/>
      <c r="AH20" s="344"/>
      <c r="AI20" s="349"/>
      <c r="AK20" s="346"/>
      <c r="AL20" s="346"/>
      <c r="AM20" s="59" t="s">
        <v>251</v>
      </c>
      <c r="AN20" s="59" t="s">
        <v>252</v>
      </c>
      <c r="AO20" s="59" t="s">
        <v>252</v>
      </c>
      <c r="AP20" s="59"/>
    </row>
    <row r="21" spans="1:42" ht="24.75" thickBot="1" x14ac:dyDescent="0.3">
      <c r="A21" s="347"/>
      <c r="B21" s="345" t="s">
        <v>253</v>
      </c>
      <c r="C21" s="345" t="s">
        <v>254</v>
      </c>
      <c r="D21" s="341" t="s">
        <v>255</v>
      </c>
      <c r="E21" s="345" t="s">
        <v>256</v>
      </c>
      <c r="G21" s="347"/>
      <c r="H21" s="345" t="s">
        <v>253</v>
      </c>
      <c r="I21" s="345" t="s">
        <v>254</v>
      </c>
      <c r="J21" s="341" t="s">
        <v>257</v>
      </c>
      <c r="K21" s="345" t="s">
        <v>258</v>
      </c>
      <c r="M21" s="347"/>
      <c r="N21" s="345" t="s">
        <v>253</v>
      </c>
      <c r="O21" s="345" t="s">
        <v>259</v>
      </c>
      <c r="P21" s="341" t="s">
        <v>260</v>
      </c>
      <c r="Q21" s="345" t="s">
        <v>261</v>
      </c>
      <c r="S21" s="347"/>
      <c r="T21" s="345" t="s">
        <v>253</v>
      </c>
      <c r="U21" s="345" t="s">
        <v>254</v>
      </c>
      <c r="V21" s="341" t="s">
        <v>262</v>
      </c>
      <c r="W21" s="345" t="s">
        <v>258</v>
      </c>
      <c r="Y21" s="347"/>
      <c r="Z21" s="346"/>
      <c r="AA21" s="349"/>
      <c r="AB21" s="344"/>
      <c r="AC21" s="349"/>
      <c r="AE21" s="347"/>
      <c r="AF21" s="345" t="s">
        <v>253</v>
      </c>
      <c r="AG21" s="345" t="s">
        <v>254</v>
      </c>
      <c r="AH21" s="343" t="s">
        <v>263</v>
      </c>
      <c r="AI21" s="348" t="s">
        <v>264</v>
      </c>
      <c r="AK21" s="345" t="s">
        <v>265</v>
      </c>
      <c r="AL21" s="58" t="s">
        <v>266</v>
      </c>
      <c r="AM21" s="59" t="s">
        <v>267</v>
      </c>
      <c r="AN21" s="61" t="s">
        <v>268</v>
      </c>
      <c r="AO21" s="61" t="s">
        <v>268</v>
      </c>
      <c r="AP21" s="59"/>
    </row>
    <row r="22" spans="1:42" ht="36.75" thickBot="1" x14ac:dyDescent="0.3">
      <c r="A22" s="347"/>
      <c r="B22" s="346"/>
      <c r="C22" s="346"/>
      <c r="D22" s="342"/>
      <c r="E22" s="346"/>
      <c r="G22" s="347"/>
      <c r="H22" s="346"/>
      <c r="I22" s="346"/>
      <c r="J22" s="342"/>
      <c r="K22" s="346"/>
      <c r="M22" s="347"/>
      <c r="N22" s="346"/>
      <c r="O22" s="346"/>
      <c r="P22" s="342"/>
      <c r="Q22" s="346"/>
      <c r="S22" s="347"/>
      <c r="T22" s="346"/>
      <c r="U22" s="346"/>
      <c r="V22" s="342"/>
      <c r="W22" s="346"/>
      <c r="Y22" s="347"/>
      <c r="Z22" s="345" t="s">
        <v>253</v>
      </c>
      <c r="AA22" s="348" t="s">
        <v>254</v>
      </c>
      <c r="AB22" s="343" t="s">
        <v>269</v>
      </c>
      <c r="AC22" s="348" t="s">
        <v>261</v>
      </c>
      <c r="AE22" s="347"/>
      <c r="AF22" s="346"/>
      <c r="AG22" s="346"/>
      <c r="AH22" s="344"/>
      <c r="AI22" s="349"/>
      <c r="AK22" s="347"/>
      <c r="AL22" s="68" t="s">
        <v>270</v>
      </c>
      <c r="AM22" s="59" t="s">
        <v>271</v>
      </c>
      <c r="AN22" s="59" t="s">
        <v>272</v>
      </c>
      <c r="AO22" s="59" t="s">
        <v>272</v>
      </c>
      <c r="AP22" s="59" t="s">
        <v>273</v>
      </c>
    </row>
    <row r="23" spans="1:42" ht="36.75" thickBot="1" x14ac:dyDescent="0.3">
      <c r="A23" s="347"/>
      <c r="B23" s="58" t="s">
        <v>274</v>
      </c>
      <c r="C23" s="59" t="s">
        <v>275</v>
      </c>
      <c r="D23" s="61" t="s">
        <v>276</v>
      </c>
      <c r="E23" s="59" t="s">
        <v>277</v>
      </c>
      <c r="G23" s="347"/>
      <c r="H23" s="58" t="s">
        <v>274</v>
      </c>
      <c r="I23" s="59" t="s">
        <v>275</v>
      </c>
      <c r="J23" s="60">
        <v>0</v>
      </c>
      <c r="K23" s="59"/>
      <c r="M23" s="347"/>
      <c r="N23" s="58" t="s">
        <v>274</v>
      </c>
      <c r="O23" s="59" t="s">
        <v>275</v>
      </c>
      <c r="P23" s="61" t="s">
        <v>278</v>
      </c>
      <c r="Q23" s="59" t="s">
        <v>279</v>
      </c>
      <c r="S23" s="347"/>
      <c r="T23" s="58" t="s">
        <v>274</v>
      </c>
      <c r="U23" s="59" t="s">
        <v>275</v>
      </c>
      <c r="V23" s="69" t="s">
        <v>280</v>
      </c>
      <c r="W23" s="59"/>
      <c r="Y23" s="347"/>
      <c r="Z23" s="346"/>
      <c r="AA23" s="349"/>
      <c r="AB23" s="344"/>
      <c r="AC23" s="349"/>
      <c r="AE23" s="347"/>
      <c r="AF23" s="58" t="s">
        <v>274</v>
      </c>
      <c r="AG23" s="59" t="s">
        <v>275</v>
      </c>
      <c r="AH23" s="70" t="s">
        <v>281</v>
      </c>
      <c r="AI23" s="59"/>
      <c r="AK23" s="347"/>
      <c r="AL23" s="59" t="s">
        <v>282</v>
      </c>
      <c r="AM23" s="59" t="s">
        <v>283</v>
      </c>
      <c r="AN23" s="61" t="s">
        <v>284</v>
      </c>
      <c r="AO23" s="61" t="s">
        <v>284</v>
      </c>
      <c r="AP23" s="59"/>
    </row>
    <row r="24" spans="1:42" ht="36.75" thickBot="1" x14ac:dyDescent="0.3">
      <c r="A24" s="347"/>
      <c r="B24" s="59" t="s">
        <v>285</v>
      </c>
      <c r="C24" s="59" t="s">
        <v>286</v>
      </c>
      <c r="D24" s="61" t="s">
        <v>287</v>
      </c>
      <c r="E24" s="59" t="s">
        <v>288</v>
      </c>
      <c r="G24" s="347"/>
      <c r="H24" s="59" t="s">
        <v>285</v>
      </c>
      <c r="I24" s="59" t="s">
        <v>286</v>
      </c>
      <c r="J24" s="61" t="s">
        <v>289</v>
      </c>
      <c r="K24" s="59" t="s">
        <v>290</v>
      </c>
      <c r="M24" s="347"/>
      <c r="N24" s="59" t="s">
        <v>285</v>
      </c>
      <c r="O24" s="59" t="s">
        <v>286</v>
      </c>
      <c r="P24" s="61" t="s">
        <v>291</v>
      </c>
      <c r="Q24" s="59" t="s">
        <v>292</v>
      </c>
      <c r="S24" s="347"/>
      <c r="T24" s="59" t="s">
        <v>285</v>
      </c>
      <c r="U24" s="59" t="s">
        <v>286</v>
      </c>
      <c r="V24" s="61" t="s">
        <v>293</v>
      </c>
      <c r="W24" s="59" t="s">
        <v>294</v>
      </c>
      <c r="Y24" s="347"/>
      <c r="Z24" s="58" t="s">
        <v>274</v>
      </c>
      <c r="AA24" s="63" t="s">
        <v>275</v>
      </c>
      <c r="AB24" s="63" t="s">
        <v>281</v>
      </c>
      <c r="AC24" s="63"/>
      <c r="AE24" s="347"/>
      <c r="AF24" s="59" t="s">
        <v>285</v>
      </c>
      <c r="AG24" s="59" t="s">
        <v>286</v>
      </c>
      <c r="AH24" s="66" t="s">
        <v>295</v>
      </c>
      <c r="AI24" s="63" t="s">
        <v>296</v>
      </c>
      <c r="AK24" s="347"/>
      <c r="AL24" s="345" t="s">
        <v>297</v>
      </c>
      <c r="AM24" s="59" t="s">
        <v>171</v>
      </c>
      <c r="AN24" s="59" t="s">
        <v>298</v>
      </c>
      <c r="AO24" s="59" t="s">
        <v>299</v>
      </c>
      <c r="AP24" s="59"/>
    </row>
    <row r="25" spans="1:42" ht="60.75" thickBot="1" x14ac:dyDescent="0.3">
      <c r="A25" s="347"/>
      <c r="B25" s="345" t="s">
        <v>300</v>
      </c>
      <c r="C25" s="59" t="s">
        <v>301</v>
      </c>
      <c r="D25" s="59" t="s">
        <v>302</v>
      </c>
      <c r="E25" s="59" t="s">
        <v>303</v>
      </c>
      <c r="G25" s="347"/>
      <c r="H25" s="345" t="s">
        <v>300</v>
      </c>
      <c r="I25" s="59" t="s">
        <v>301</v>
      </c>
      <c r="J25" s="59" t="s">
        <v>304</v>
      </c>
      <c r="K25" s="59" t="s">
        <v>305</v>
      </c>
      <c r="M25" s="347"/>
      <c r="N25" s="345" t="s">
        <v>300</v>
      </c>
      <c r="O25" s="59" t="s">
        <v>170</v>
      </c>
      <c r="P25" s="59" t="s">
        <v>306</v>
      </c>
      <c r="Q25" s="59" t="s">
        <v>305</v>
      </c>
      <c r="S25" s="347"/>
      <c r="T25" s="345" t="s">
        <v>300</v>
      </c>
      <c r="U25" s="59" t="s">
        <v>301</v>
      </c>
      <c r="V25" s="59" t="s">
        <v>307</v>
      </c>
      <c r="W25" s="59" t="s">
        <v>305</v>
      </c>
      <c r="Y25" s="347"/>
      <c r="Z25" s="59" t="s">
        <v>285</v>
      </c>
      <c r="AA25" s="63" t="s">
        <v>286</v>
      </c>
      <c r="AB25" s="66" t="s">
        <v>308</v>
      </c>
      <c r="AC25" s="63" t="s">
        <v>309</v>
      </c>
      <c r="AE25" s="347"/>
      <c r="AF25" s="345" t="s">
        <v>300</v>
      </c>
      <c r="AG25" s="59" t="s">
        <v>301</v>
      </c>
      <c r="AH25" s="63" t="s">
        <v>310</v>
      </c>
      <c r="AI25" s="63" t="s">
        <v>305</v>
      </c>
      <c r="AK25" s="347"/>
      <c r="AL25" s="347"/>
      <c r="AM25" s="59" t="s">
        <v>163</v>
      </c>
      <c r="AN25" s="59" t="s">
        <v>311</v>
      </c>
      <c r="AO25" s="59" t="s">
        <v>312</v>
      </c>
      <c r="AP25" s="59"/>
    </row>
    <row r="26" spans="1:42" ht="24.75" thickBot="1" x14ac:dyDescent="0.3">
      <c r="A26" s="347"/>
      <c r="B26" s="346"/>
      <c r="C26" s="59" t="s">
        <v>313</v>
      </c>
      <c r="D26" s="59" t="s">
        <v>314</v>
      </c>
      <c r="E26" s="59"/>
      <c r="G26" s="347"/>
      <c r="H26" s="346"/>
      <c r="I26" s="59" t="s">
        <v>315</v>
      </c>
      <c r="J26" s="59" t="s">
        <v>316</v>
      </c>
      <c r="K26" s="59"/>
      <c r="M26" s="347"/>
      <c r="N26" s="346"/>
      <c r="O26" s="59" t="s">
        <v>317</v>
      </c>
      <c r="P26" s="59" t="s">
        <v>318</v>
      </c>
      <c r="Q26" s="59"/>
      <c r="S26" s="347"/>
      <c r="T26" s="346"/>
      <c r="U26" s="59" t="s">
        <v>313</v>
      </c>
      <c r="V26" s="59" t="s">
        <v>307</v>
      </c>
      <c r="W26" s="59"/>
      <c r="Y26" s="347"/>
      <c r="Z26" s="345" t="s">
        <v>300</v>
      </c>
      <c r="AA26" s="63" t="s">
        <v>301</v>
      </c>
      <c r="AB26" s="63" t="s">
        <v>319</v>
      </c>
      <c r="AC26" s="63"/>
      <c r="AE26" s="347"/>
      <c r="AF26" s="346"/>
      <c r="AG26" s="59" t="s">
        <v>315</v>
      </c>
      <c r="AH26" s="63" t="s">
        <v>320</v>
      </c>
      <c r="AI26" s="59"/>
      <c r="AK26" s="347"/>
      <c r="AL26" s="347"/>
      <c r="AM26" s="59" t="s">
        <v>179</v>
      </c>
      <c r="AN26" s="61" t="s">
        <v>321</v>
      </c>
      <c r="AO26" s="61" t="s">
        <v>322</v>
      </c>
      <c r="AP26" s="59"/>
    </row>
    <row r="27" spans="1:42" ht="24.75" thickBot="1" x14ac:dyDescent="0.3">
      <c r="A27" s="346"/>
      <c r="B27" s="59" t="s">
        <v>323</v>
      </c>
      <c r="C27" s="59" t="s">
        <v>324</v>
      </c>
      <c r="D27" s="61" t="s">
        <v>325</v>
      </c>
      <c r="E27" s="59"/>
      <c r="G27" s="346"/>
      <c r="H27" s="59" t="s">
        <v>323</v>
      </c>
      <c r="I27" s="59" t="s">
        <v>324</v>
      </c>
      <c r="J27" s="61" t="s">
        <v>325</v>
      </c>
      <c r="K27" s="59"/>
      <c r="M27" s="346"/>
      <c r="N27" s="59" t="s">
        <v>323</v>
      </c>
      <c r="O27" s="59" t="s">
        <v>324</v>
      </c>
      <c r="P27" s="61" t="s">
        <v>326</v>
      </c>
      <c r="Q27" s="59"/>
      <c r="S27" s="346"/>
      <c r="T27" s="59" t="s">
        <v>323</v>
      </c>
      <c r="U27" s="59" t="s">
        <v>324</v>
      </c>
      <c r="V27" s="61" t="s">
        <v>325</v>
      </c>
      <c r="W27" s="59"/>
      <c r="Y27" s="347"/>
      <c r="Z27" s="346"/>
      <c r="AA27" s="63" t="s">
        <v>327</v>
      </c>
      <c r="AB27" s="63" t="s">
        <v>328</v>
      </c>
      <c r="AC27" s="63" t="s">
        <v>329</v>
      </c>
      <c r="AE27" s="346"/>
      <c r="AF27" s="59" t="s">
        <v>323</v>
      </c>
      <c r="AG27" s="59" t="s">
        <v>324</v>
      </c>
      <c r="AH27" s="66" t="s">
        <v>330</v>
      </c>
      <c r="AI27" s="59"/>
      <c r="AK27" s="347"/>
      <c r="AL27" s="347"/>
      <c r="AM27" s="59" t="s">
        <v>331</v>
      </c>
      <c r="AN27" s="59" t="s">
        <v>332</v>
      </c>
      <c r="AO27" s="59" t="s">
        <v>312</v>
      </c>
      <c r="AP27" s="59"/>
    </row>
    <row r="28" spans="1:42" ht="24.75" thickBot="1" x14ac:dyDescent="0.3">
      <c r="A28" s="345" t="s">
        <v>235</v>
      </c>
      <c r="B28" s="345" t="s">
        <v>333</v>
      </c>
      <c r="C28" s="59" t="s">
        <v>237</v>
      </c>
      <c r="D28" s="61" t="s">
        <v>334</v>
      </c>
      <c r="E28" s="59"/>
      <c r="G28" s="345" t="s">
        <v>235</v>
      </c>
      <c r="H28" s="345" t="s">
        <v>333</v>
      </c>
      <c r="I28" s="59" t="s">
        <v>237</v>
      </c>
      <c r="J28" s="61" t="s">
        <v>335</v>
      </c>
      <c r="K28" s="59"/>
      <c r="M28" s="345" t="s">
        <v>235</v>
      </c>
      <c r="N28" s="345" t="s">
        <v>333</v>
      </c>
      <c r="O28" s="59" t="s">
        <v>237</v>
      </c>
      <c r="P28" s="61" t="s">
        <v>336</v>
      </c>
      <c r="Q28" s="59"/>
      <c r="S28" s="345" t="s">
        <v>235</v>
      </c>
      <c r="T28" s="345" t="s">
        <v>333</v>
      </c>
      <c r="U28" s="59" t="s">
        <v>237</v>
      </c>
      <c r="V28" s="59" t="s">
        <v>337</v>
      </c>
      <c r="W28" s="59"/>
      <c r="Y28" s="346"/>
      <c r="Z28" s="59" t="s">
        <v>323</v>
      </c>
      <c r="AA28" s="63" t="s">
        <v>324</v>
      </c>
      <c r="AB28" s="66" t="s">
        <v>338</v>
      </c>
      <c r="AC28" s="63"/>
      <c r="AE28" s="345" t="s">
        <v>235</v>
      </c>
      <c r="AF28" s="345" t="s">
        <v>333</v>
      </c>
      <c r="AG28" s="59" t="s">
        <v>237</v>
      </c>
      <c r="AH28" s="66" t="s">
        <v>339</v>
      </c>
      <c r="AI28" s="63"/>
      <c r="AK28" s="347"/>
      <c r="AL28" s="361"/>
      <c r="AM28" s="59" t="s">
        <v>340</v>
      </c>
      <c r="AN28" s="60">
        <v>0</v>
      </c>
      <c r="AO28" s="59" t="s">
        <v>341</v>
      </c>
      <c r="AP28" s="59" t="s">
        <v>342</v>
      </c>
    </row>
    <row r="29" spans="1:42" ht="24.75" thickBot="1" x14ac:dyDescent="0.3">
      <c r="A29" s="347"/>
      <c r="B29" s="347"/>
      <c r="C29" s="59" t="s">
        <v>343</v>
      </c>
      <c r="D29" s="61" t="s">
        <v>344</v>
      </c>
      <c r="E29" s="61" t="s">
        <v>345</v>
      </c>
      <c r="G29" s="347"/>
      <c r="H29" s="347"/>
      <c r="I29" s="59" t="s">
        <v>343</v>
      </c>
      <c r="J29" s="61" t="s">
        <v>346</v>
      </c>
      <c r="K29" s="61" t="s">
        <v>345</v>
      </c>
      <c r="M29" s="347"/>
      <c r="N29" s="347"/>
      <c r="O29" s="59" t="s">
        <v>343</v>
      </c>
      <c r="P29" s="61" t="s">
        <v>346</v>
      </c>
      <c r="Q29" s="61" t="s">
        <v>345</v>
      </c>
      <c r="S29" s="347"/>
      <c r="T29" s="347"/>
      <c r="U29" s="59" t="s">
        <v>343</v>
      </c>
      <c r="V29" s="59" t="s">
        <v>337</v>
      </c>
      <c r="W29" s="61"/>
      <c r="Y29" s="345" t="s">
        <v>235</v>
      </c>
      <c r="Z29" s="345" t="s">
        <v>333</v>
      </c>
      <c r="AA29" s="63" t="s">
        <v>237</v>
      </c>
      <c r="AB29" s="66" t="s">
        <v>337</v>
      </c>
      <c r="AC29" s="63"/>
      <c r="AE29" s="347"/>
      <c r="AF29" s="347"/>
      <c r="AG29" s="59" t="s">
        <v>343</v>
      </c>
      <c r="AH29" s="66" t="s">
        <v>346</v>
      </c>
      <c r="AI29" s="66" t="s">
        <v>347</v>
      </c>
      <c r="AK29" s="347"/>
      <c r="AL29" s="61" t="s">
        <v>348</v>
      </c>
      <c r="AM29" s="59" t="s">
        <v>349</v>
      </c>
      <c r="AN29" s="59" t="s">
        <v>350</v>
      </c>
      <c r="AO29" s="59" t="s">
        <v>350</v>
      </c>
      <c r="AP29" s="59"/>
    </row>
    <row r="30" spans="1:42" ht="24.75" thickBot="1" x14ac:dyDescent="0.3">
      <c r="A30" s="347"/>
      <c r="B30" s="346"/>
      <c r="C30" s="59" t="s">
        <v>351</v>
      </c>
      <c r="D30" s="61" t="s">
        <v>337</v>
      </c>
      <c r="E30" s="59"/>
      <c r="G30" s="347"/>
      <c r="H30" s="346"/>
      <c r="I30" s="59" t="s">
        <v>351</v>
      </c>
      <c r="J30" s="61" t="s">
        <v>352</v>
      </c>
      <c r="K30" s="59"/>
      <c r="M30" s="347"/>
      <c r="N30" s="346"/>
      <c r="O30" s="59" t="s">
        <v>351</v>
      </c>
      <c r="P30" s="61" t="s">
        <v>353</v>
      </c>
      <c r="Q30" s="59"/>
      <c r="S30" s="347"/>
      <c r="T30" s="346"/>
      <c r="U30" s="59" t="s">
        <v>351</v>
      </c>
      <c r="V30" s="59" t="s">
        <v>354</v>
      </c>
      <c r="W30" s="59"/>
      <c r="Y30" s="347"/>
      <c r="Z30" s="347"/>
      <c r="AA30" s="63" t="s">
        <v>343</v>
      </c>
      <c r="AB30" s="66" t="s">
        <v>337</v>
      </c>
      <c r="AC30" s="66"/>
      <c r="AE30" s="347"/>
      <c r="AF30" s="346"/>
      <c r="AG30" s="59" t="s">
        <v>351</v>
      </c>
      <c r="AH30" s="66" t="s">
        <v>337</v>
      </c>
      <c r="AI30" s="67"/>
      <c r="AK30" s="347"/>
      <c r="AL30" s="345" t="s">
        <v>355</v>
      </c>
      <c r="AM30" s="345" t="s">
        <v>356</v>
      </c>
      <c r="AN30" s="341" t="s">
        <v>357</v>
      </c>
      <c r="AO30" s="58" t="s">
        <v>357</v>
      </c>
      <c r="AP30" s="350"/>
    </row>
    <row r="31" spans="1:42" ht="36" customHeight="1" thickBot="1" x14ac:dyDescent="0.3">
      <c r="A31" s="347"/>
      <c r="B31" s="345" t="s">
        <v>358</v>
      </c>
      <c r="C31" s="345" t="s">
        <v>359</v>
      </c>
      <c r="D31" s="341" t="s">
        <v>360</v>
      </c>
      <c r="E31" s="345"/>
      <c r="G31" s="347"/>
      <c r="H31" s="345" t="s">
        <v>358</v>
      </c>
      <c r="I31" s="345" t="s">
        <v>359</v>
      </c>
      <c r="J31" s="341" t="s">
        <v>361</v>
      </c>
      <c r="K31" s="345" t="s">
        <v>362</v>
      </c>
      <c r="M31" s="347"/>
      <c r="N31" s="345" t="s">
        <v>358</v>
      </c>
      <c r="O31" s="345" t="s">
        <v>363</v>
      </c>
      <c r="P31" s="341" t="s">
        <v>364</v>
      </c>
      <c r="Q31" s="345" t="s">
        <v>365</v>
      </c>
      <c r="S31" s="347"/>
      <c r="T31" s="345" t="s">
        <v>358</v>
      </c>
      <c r="U31" s="345" t="s">
        <v>359</v>
      </c>
      <c r="V31" s="341" t="s">
        <v>360</v>
      </c>
      <c r="W31" s="345" t="s">
        <v>362</v>
      </c>
      <c r="Y31" s="347"/>
      <c r="Z31" s="346"/>
      <c r="AA31" s="63" t="s">
        <v>351</v>
      </c>
      <c r="AB31" s="66" t="s">
        <v>352</v>
      </c>
      <c r="AC31" s="67"/>
      <c r="AE31" s="347"/>
      <c r="AF31" s="345" t="s">
        <v>358</v>
      </c>
      <c r="AG31" s="345" t="s">
        <v>359</v>
      </c>
      <c r="AH31" s="343" t="s">
        <v>366</v>
      </c>
      <c r="AI31" s="348" t="s">
        <v>362</v>
      </c>
      <c r="AK31" s="346"/>
      <c r="AL31" s="346"/>
      <c r="AM31" s="346"/>
      <c r="AN31" s="342"/>
      <c r="AO31" s="59"/>
      <c r="AP31" s="351"/>
    </row>
    <row r="32" spans="1:42" ht="36" customHeight="1" thickBot="1" x14ac:dyDescent="0.3">
      <c r="A32" s="347"/>
      <c r="B32" s="346"/>
      <c r="C32" s="346"/>
      <c r="D32" s="342"/>
      <c r="E32" s="346"/>
      <c r="G32" s="347"/>
      <c r="H32" s="346"/>
      <c r="I32" s="346"/>
      <c r="J32" s="342"/>
      <c r="K32" s="346"/>
      <c r="M32" s="347"/>
      <c r="N32" s="346"/>
      <c r="O32" s="346"/>
      <c r="P32" s="342"/>
      <c r="Q32" s="346"/>
      <c r="S32" s="347"/>
      <c r="T32" s="346"/>
      <c r="U32" s="346"/>
      <c r="V32" s="342"/>
      <c r="W32" s="346"/>
      <c r="Y32" s="347"/>
      <c r="Z32" s="345" t="s">
        <v>358</v>
      </c>
      <c r="AA32" s="348" t="s">
        <v>359</v>
      </c>
      <c r="AB32" s="343" t="s">
        <v>366</v>
      </c>
      <c r="AC32" s="348" t="s">
        <v>362</v>
      </c>
      <c r="AE32" s="347"/>
      <c r="AF32" s="346"/>
      <c r="AG32" s="346"/>
      <c r="AH32" s="344"/>
      <c r="AI32" s="349"/>
    </row>
    <row r="33" spans="1:35" ht="24.75" thickBot="1" x14ac:dyDescent="0.3">
      <c r="A33" s="347"/>
      <c r="B33" s="59" t="s">
        <v>367</v>
      </c>
      <c r="C33" s="59" t="s">
        <v>368</v>
      </c>
      <c r="D33" s="59" t="s">
        <v>369</v>
      </c>
      <c r="E33" s="59"/>
      <c r="G33" s="347"/>
      <c r="H33" s="59" t="s">
        <v>367</v>
      </c>
      <c r="I33" s="59" t="s">
        <v>368</v>
      </c>
      <c r="J33" s="59" t="s">
        <v>337</v>
      </c>
      <c r="K33" s="59"/>
      <c r="M33" s="347"/>
      <c r="N33" s="59" t="s">
        <v>367</v>
      </c>
      <c r="O33" s="59" t="s">
        <v>368</v>
      </c>
      <c r="P33" s="59" t="s">
        <v>370</v>
      </c>
      <c r="Q33" s="59"/>
      <c r="S33" s="347"/>
      <c r="T33" s="59" t="s">
        <v>367</v>
      </c>
      <c r="U33" s="59" t="s">
        <v>368</v>
      </c>
      <c r="V33" s="59" t="s">
        <v>371</v>
      </c>
      <c r="W33" s="59"/>
      <c r="Y33" s="347"/>
      <c r="Z33" s="346"/>
      <c r="AA33" s="349"/>
      <c r="AB33" s="344"/>
      <c r="AC33" s="349"/>
      <c r="AE33" s="347"/>
      <c r="AF33" s="59" t="s">
        <v>367</v>
      </c>
      <c r="AG33" s="59" t="s">
        <v>368</v>
      </c>
      <c r="AH33" s="63" t="s">
        <v>346</v>
      </c>
      <c r="AI33" s="67"/>
    </row>
    <row r="34" spans="1:35" ht="24.75" thickBot="1" x14ac:dyDescent="0.3">
      <c r="A34" s="347"/>
      <c r="B34" s="345" t="s">
        <v>246</v>
      </c>
      <c r="C34" s="59" t="s">
        <v>247</v>
      </c>
      <c r="D34" s="61" t="s">
        <v>248</v>
      </c>
      <c r="E34" s="59" t="s">
        <v>249</v>
      </c>
      <c r="G34" s="347"/>
      <c r="H34" s="345" t="s">
        <v>246</v>
      </c>
      <c r="I34" s="59" t="s">
        <v>247</v>
      </c>
      <c r="J34" s="61" t="s">
        <v>248</v>
      </c>
      <c r="K34" s="59" t="s">
        <v>249</v>
      </c>
      <c r="M34" s="347"/>
      <c r="N34" s="345" t="s">
        <v>246</v>
      </c>
      <c r="O34" s="59" t="s">
        <v>247</v>
      </c>
      <c r="P34" s="61" t="s">
        <v>248</v>
      </c>
      <c r="Q34" s="59"/>
      <c r="S34" s="347"/>
      <c r="T34" s="345" t="s">
        <v>246</v>
      </c>
      <c r="U34" s="59" t="s">
        <v>247</v>
      </c>
      <c r="V34" s="61" t="s">
        <v>248</v>
      </c>
      <c r="W34" s="59" t="s">
        <v>249</v>
      </c>
      <c r="Y34" s="347"/>
      <c r="Z34" s="59" t="s">
        <v>367</v>
      </c>
      <c r="AA34" s="63" t="s">
        <v>368</v>
      </c>
      <c r="AB34" s="63" t="s">
        <v>337</v>
      </c>
      <c r="AC34" s="67"/>
      <c r="AE34" s="347"/>
      <c r="AF34" s="345" t="s">
        <v>246</v>
      </c>
      <c r="AG34" s="59" t="s">
        <v>247</v>
      </c>
      <c r="AH34" s="66" t="s">
        <v>248</v>
      </c>
      <c r="AI34" s="63" t="s">
        <v>249</v>
      </c>
    </row>
    <row r="35" spans="1:35" ht="48.75" thickBot="1" x14ac:dyDescent="0.3">
      <c r="A35" s="347"/>
      <c r="B35" s="347"/>
      <c r="C35" s="59" t="s">
        <v>372</v>
      </c>
      <c r="D35" s="61" t="s">
        <v>252</v>
      </c>
      <c r="E35" s="59"/>
      <c r="G35" s="347"/>
      <c r="H35" s="347"/>
      <c r="I35" s="59" t="s">
        <v>372</v>
      </c>
      <c r="J35" s="61" t="s">
        <v>252</v>
      </c>
      <c r="K35" s="59"/>
      <c r="M35" s="347"/>
      <c r="N35" s="347"/>
      <c r="O35" s="59" t="s">
        <v>373</v>
      </c>
      <c r="P35" s="61" t="s">
        <v>252</v>
      </c>
      <c r="Q35" s="59"/>
      <c r="S35" s="347"/>
      <c r="T35" s="346"/>
      <c r="U35" s="59" t="s">
        <v>374</v>
      </c>
      <c r="V35" s="59" t="s">
        <v>375</v>
      </c>
      <c r="W35" s="59"/>
      <c r="Y35" s="347"/>
      <c r="Z35" s="345" t="s">
        <v>246</v>
      </c>
      <c r="AA35" s="63" t="s">
        <v>247</v>
      </c>
      <c r="AB35" s="66" t="s">
        <v>248</v>
      </c>
      <c r="AC35" s="63" t="s">
        <v>249</v>
      </c>
      <c r="AE35" s="347"/>
      <c r="AF35" s="347"/>
      <c r="AG35" s="59" t="s">
        <v>372</v>
      </c>
      <c r="AH35" s="66" t="s">
        <v>375</v>
      </c>
      <c r="AI35" s="63"/>
    </row>
    <row r="36" spans="1:35" ht="36.75" thickBot="1" x14ac:dyDescent="0.3">
      <c r="A36" s="347"/>
      <c r="B36" s="346"/>
      <c r="C36" s="59" t="s">
        <v>331</v>
      </c>
      <c r="D36" s="61" t="s">
        <v>376</v>
      </c>
      <c r="E36" s="59" t="s">
        <v>377</v>
      </c>
      <c r="G36" s="347"/>
      <c r="H36" s="346"/>
      <c r="I36" s="59" t="s">
        <v>331</v>
      </c>
      <c r="J36" s="61" t="s">
        <v>378</v>
      </c>
      <c r="K36" s="59" t="s">
        <v>377</v>
      </c>
      <c r="M36" s="347"/>
      <c r="N36" s="346"/>
      <c r="O36" s="59" t="s">
        <v>379</v>
      </c>
      <c r="P36" s="61" t="s">
        <v>376</v>
      </c>
      <c r="Q36" s="59" t="s">
        <v>380</v>
      </c>
      <c r="S36" s="346"/>
      <c r="T36" s="59" t="s">
        <v>323</v>
      </c>
      <c r="U36" s="59" t="s">
        <v>381</v>
      </c>
      <c r="V36" s="59" t="s">
        <v>371</v>
      </c>
      <c r="W36" s="59" t="s">
        <v>381</v>
      </c>
      <c r="Y36" s="347"/>
      <c r="Z36" s="347"/>
      <c r="AA36" s="63" t="s">
        <v>374</v>
      </c>
      <c r="AB36" s="66" t="s">
        <v>375</v>
      </c>
      <c r="AC36" s="63"/>
      <c r="AE36" s="347"/>
      <c r="AF36" s="346"/>
      <c r="AG36" s="59" t="s">
        <v>331</v>
      </c>
      <c r="AH36" s="66" t="s">
        <v>378</v>
      </c>
      <c r="AI36" s="63" t="s">
        <v>377</v>
      </c>
    </row>
    <row r="37" spans="1:35" ht="24.75" thickBot="1" x14ac:dyDescent="0.3">
      <c r="A37" s="346"/>
      <c r="B37" s="59" t="s">
        <v>323</v>
      </c>
      <c r="C37" s="59" t="s">
        <v>381</v>
      </c>
      <c r="D37" s="59" t="s">
        <v>371</v>
      </c>
      <c r="E37" s="59" t="s">
        <v>381</v>
      </c>
      <c r="G37" s="346"/>
      <c r="H37" s="59" t="s">
        <v>323</v>
      </c>
      <c r="I37" s="59" t="s">
        <v>381</v>
      </c>
      <c r="J37" s="59" t="s">
        <v>371</v>
      </c>
      <c r="K37" s="59" t="s">
        <v>381</v>
      </c>
      <c r="M37" s="346"/>
      <c r="N37" s="59" t="s">
        <v>323</v>
      </c>
      <c r="O37" s="59" t="s">
        <v>381</v>
      </c>
      <c r="P37" s="59" t="s">
        <v>382</v>
      </c>
      <c r="Q37" s="59" t="s">
        <v>381</v>
      </c>
      <c r="S37" s="345" t="s">
        <v>265</v>
      </c>
      <c r="T37" s="58" t="s">
        <v>266</v>
      </c>
      <c r="U37" s="59" t="s">
        <v>267</v>
      </c>
      <c r="V37" s="61" t="s">
        <v>268</v>
      </c>
      <c r="W37" s="59"/>
      <c r="Y37" s="347"/>
      <c r="Z37" s="346"/>
      <c r="AA37" s="63" t="s">
        <v>331</v>
      </c>
      <c r="AB37" s="66" t="s">
        <v>383</v>
      </c>
      <c r="AC37" s="63" t="s">
        <v>384</v>
      </c>
      <c r="AE37" s="346"/>
      <c r="AF37" s="59" t="s">
        <v>323</v>
      </c>
      <c r="AG37" s="59" t="s">
        <v>381</v>
      </c>
      <c r="AH37" s="63" t="s">
        <v>352</v>
      </c>
      <c r="AI37" s="63" t="s">
        <v>381</v>
      </c>
    </row>
    <row r="38" spans="1:35" ht="24.75" thickBot="1" x14ac:dyDescent="0.3">
      <c r="A38" s="345" t="s">
        <v>265</v>
      </c>
      <c r="B38" s="59" t="s">
        <v>266</v>
      </c>
      <c r="C38" s="59" t="s">
        <v>385</v>
      </c>
      <c r="D38" s="61" t="s">
        <v>268</v>
      </c>
      <c r="E38" s="61"/>
      <c r="G38" s="345" t="s">
        <v>265</v>
      </c>
      <c r="H38" s="345" t="s">
        <v>266</v>
      </c>
      <c r="I38" s="59" t="s">
        <v>267</v>
      </c>
      <c r="J38" s="61" t="s">
        <v>268</v>
      </c>
      <c r="K38" s="59"/>
      <c r="M38" s="345" t="s">
        <v>265</v>
      </c>
      <c r="N38" s="59" t="s">
        <v>266</v>
      </c>
      <c r="O38" s="59" t="s">
        <v>267</v>
      </c>
      <c r="P38" s="61" t="s">
        <v>268</v>
      </c>
      <c r="Q38" s="61"/>
      <c r="S38" s="347"/>
      <c r="T38" s="345" t="s">
        <v>270</v>
      </c>
      <c r="U38" s="345" t="s">
        <v>271</v>
      </c>
      <c r="V38" s="341" t="s">
        <v>386</v>
      </c>
      <c r="W38" s="345" t="s">
        <v>387</v>
      </c>
      <c r="Y38" s="346"/>
      <c r="Z38" s="59" t="s">
        <v>323</v>
      </c>
      <c r="AA38" s="63" t="s">
        <v>381</v>
      </c>
      <c r="AB38" s="63" t="s">
        <v>388</v>
      </c>
      <c r="AC38" s="63" t="s">
        <v>381</v>
      </c>
      <c r="AE38" s="345" t="s">
        <v>265</v>
      </c>
      <c r="AF38" s="345" t="s">
        <v>266</v>
      </c>
      <c r="AG38" s="59" t="s">
        <v>267</v>
      </c>
      <c r="AH38" s="66" t="s">
        <v>268</v>
      </c>
      <c r="AI38" s="63" t="s">
        <v>389</v>
      </c>
    </row>
    <row r="39" spans="1:35" ht="24.75" thickBot="1" x14ac:dyDescent="0.3">
      <c r="A39" s="347"/>
      <c r="B39" s="345" t="s">
        <v>270</v>
      </c>
      <c r="C39" s="345" t="s">
        <v>271</v>
      </c>
      <c r="D39" s="341" t="s">
        <v>386</v>
      </c>
      <c r="E39" s="345" t="s">
        <v>387</v>
      </c>
      <c r="G39" s="347"/>
      <c r="H39" s="361"/>
      <c r="I39" s="59" t="s">
        <v>390</v>
      </c>
      <c r="J39" s="59" t="s">
        <v>391</v>
      </c>
      <c r="K39" s="61"/>
      <c r="M39" s="347"/>
      <c r="N39" s="345" t="s">
        <v>270</v>
      </c>
      <c r="O39" s="345" t="s">
        <v>271</v>
      </c>
      <c r="P39" s="341" t="s">
        <v>386</v>
      </c>
      <c r="Q39" s="345" t="s">
        <v>392</v>
      </c>
      <c r="S39" s="347"/>
      <c r="T39" s="346"/>
      <c r="U39" s="346"/>
      <c r="V39" s="342"/>
      <c r="W39" s="346"/>
      <c r="Y39" s="345" t="s">
        <v>265</v>
      </c>
      <c r="Z39" s="345" t="s">
        <v>266</v>
      </c>
      <c r="AA39" s="59" t="s">
        <v>267</v>
      </c>
      <c r="AB39" s="66" t="s">
        <v>393</v>
      </c>
      <c r="AC39" s="59"/>
      <c r="AE39" s="347"/>
      <c r="AF39" s="361"/>
      <c r="AG39" s="59" t="s">
        <v>390</v>
      </c>
      <c r="AH39" s="71">
        <v>0</v>
      </c>
      <c r="AI39" s="61"/>
    </row>
    <row r="40" spans="1:35" ht="24.75" thickBot="1" x14ac:dyDescent="0.3">
      <c r="A40" s="347"/>
      <c r="B40" s="346"/>
      <c r="C40" s="346"/>
      <c r="D40" s="342"/>
      <c r="E40" s="346"/>
      <c r="G40" s="347"/>
      <c r="H40" s="356" t="s">
        <v>270</v>
      </c>
      <c r="I40" s="345" t="s">
        <v>271</v>
      </c>
      <c r="J40" s="341" t="s">
        <v>386</v>
      </c>
      <c r="K40" s="345" t="s">
        <v>387</v>
      </c>
      <c r="M40" s="347"/>
      <c r="N40" s="346"/>
      <c r="O40" s="346"/>
      <c r="P40" s="342"/>
      <c r="Q40" s="346"/>
      <c r="S40" s="347"/>
      <c r="T40" s="59" t="s">
        <v>282</v>
      </c>
      <c r="U40" s="59" t="s">
        <v>283</v>
      </c>
      <c r="V40" s="61" t="s">
        <v>268</v>
      </c>
      <c r="W40" s="59" t="s">
        <v>394</v>
      </c>
      <c r="Y40" s="347"/>
      <c r="Z40" s="347"/>
      <c r="AA40" s="345" t="s">
        <v>395</v>
      </c>
      <c r="AB40" s="343" t="s">
        <v>396</v>
      </c>
      <c r="AC40" s="350"/>
      <c r="AE40" s="347"/>
      <c r="AF40" s="356" t="s">
        <v>270</v>
      </c>
      <c r="AG40" s="345" t="s">
        <v>271</v>
      </c>
      <c r="AH40" s="343" t="s">
        <v>386</v>
      </c>
      <c r="AI40" s="348" t="s">
        <v>397</v>
      </c>
    </row>
    <row r="41" spans="1:35" ht="36.75" thickBot="1" x14ac:dyDescent="0.3">
      <c r="A41" s="347"/>
      <c r="B41" s="59" t="s">
        <v>282</v>
      </c>
      <c r="C41" s="59" t="s">
        <v>283</v>
      </c>
      <c r="D41" s="61" t="s">
        <v>268</v>
      </c>
      <c r="E41" s="59" t="s">
        <v>394</v>
      </c>
      <c r="G41" s="347"/>
      <c r="H41" s="346"/>
      <c r="I41" s="346"/>
      <c r="J41" s="342"/>
      <c r="K41" s="346"/>
      <c r="M41" s="347"/>
      <c r="N41" s="59" t="s">
        <v>282</v>
      </c>
      <c r="O41" s="59" t="s">
        <v>283</v>
      </c>
      <c r="P41" s="61" t="s">
        <v>268</v>
      </c>
      <c r="Q41" s="59" t="s">
        <v>398</v>
      </c>
      <c r="S41" s="347"/>
      <c r="T41" s="345" t="s">
        <v>297</v>
      </c>
      <c r="U41" s="59" t="s">
        <v>171</v>
      </c>
      <c r="V41" s="59" t="s">
        <v>399</v>
      </c>
      <c r="W41" s="59"/>
      <c r="Y41" s="347"/>
      <c r="Z41" s="361"/>
      <c r="AA41" s="346"/>
      <c r="AB41" s="344"/>
      <c r="AC41" s="351"/>
      <c r="AE41" s="347"/>
      <c r="AF41" s="346"/>
      <c r="AG41" s="346"/>
      <c r="AH41" s="344"/>
      <c r="AI41" s="349"/>
    </row>
    <row r="42" spans="1:35" ht="24.75" thickBot="1" x14ac:dyDescent="0.3">
      <c r="A42" s="347"/>
      <c r="B42" s="345" t="s">
        <v>297</v>
      </c>
      <c r="C42" s="59" t="s">
        <v>171</v>
      </c>
      <c r="D42" s="59" t="s">
        <v>298</v>
      </c>
      <c r="E42" s="59" t="s">
        <v>398</v>
      </c>
      <c r="G42" s="347"/>
      <c r="H42" s="59" t="s">
        <v>282</v>
      </c>
      <c r="I42" s="59" t="s">
        <v>283</v>
      </c>
      <c r="J42" s="61" t="s">
        <v>268</v>
      </c>
      <c r="K42" s="59" t="s">
        <v>394</v>
      </c>
      <c r="M42" s="347"/>
      <c r="N42" s="345" t="s">
        <v>297</v>
      </c>
      <c r="O42" s="59" t="s">
        <v>151</v>
      </c>
      <c r="P42" s="59" t="s">
        <v>400</v>
      </c>
      <c r="Q42" s="59" t="s">
        <v>398</v>
      </c>
      <c r="S42" s="347"/>
      <c r="T42" s="347"/>
      <c r="U42" s="59" t="s">
        <v>163</v>
      </c>
      <c r="V42" s="59" t="s">
        <v>401</v>
      </c>
      <c r="W42" s="59"/>
      <c r="Y42" s="347"/>
      <c r="Z42" s="356" t="s">
        <v>270</v>
      </c>
      <c r="AA42" s="345" t="s">
        <v>271</v>
      </c>
      <c r="AB42" s="343" t="s">
        <v>386</v>
      </c>
      <c r="AC42" s="348" t="s">
        <v>397</v>
      </c>
      <c r="AE42" s="347"/>
      <c r="AF42" s="59" t="s">
        <v>282</v>
      </c>
      <c r="AG42" s="59" t="s">
        <v>283</v>
      </c>
      <c r="AH42" s="66" t="s">
        <v>268</v>
      </c>
      <c r="AI42" s="63" t="s">
        <v>394</v>
      </c>
    </row>
    <row r="43" spans="1:35" ht="15.75" thickBot="1" x14ac:dyDescent="0.3">
      <c r="A43" s="347"/>
      <c r="B43" s="347"/>
      <c r="C43" s="59" t="s">
        <v>163</v>
      </c>
      <c r="D43" s="59" t="s">
        <v>311</v>
      </c>
      <c r="E43" s="59" t="s">
        <v>398</v>
      </c>
      <c r="G43" s="347"/>
      <c r="H43" s="345" t="s">
        <v>297</v>
      </c>
      <c r="I43" s="59" t="s">
        <v>171</v>
      </c>
      <c r="J43" s="59" t="s">
        <v>399</v>
      </c>
      <c r="K43" s="59"/>
      <c r="M43" s="347"/>
      <c r="N43" s="347"/>
      <c r="O43" s="59" t="s">
        <v>163</v>
      </c>
      <c r="P43" s="59" t="s">
        <v>299</v>
      </c>
      <c r="Q43" s="59" t="s">
        <v>398</v>
      </c>
      <c r="S43" s="347"/>
      <c r="T43" s="347"/>
      <c r="U43" s="59" t="s">
        <v>179</v>
      </c>
      <c r="V43" s="59" t="s">
        <v>402</v>
      </c>
      <c r="W43" s="59"/>
      <c r="Y43" s="347"/>
      <c r="Z43" s="346"/>
      <c r="AA43" s="346"/>
      <c r="AB43" s="344"/>
      <c r="AC43" s="349"/>
      <c r="AE43" s="347"/>
      <c r="AF43" s="345" t="s">
        <v>297</v>
      </c>
      <c r="AG43" s="59" t="s">
        <v>171</v>
      </c>
      <c r="AH43" s="63" t="s">
        <v>399</v>
      </c>
      <c r="AI43" s="67"/>
    </row>
    <row r="44" spans="1:35" ht="36.75" thickBot="1" x14ac:dyDescent="0.3">
      <c r="A44" s="347"/>
      <c r="B44" s="347"/>
      <c r="C44" s="59" t="s">
        <v>179</v>
      </c>
      <c r="D44" s="61" t="s">
        <v>321</v>
      </c>
      <c r="E44" s="59"/>
      <c r="G44" s="347"/>
      <c r="H44" s="347"/>
      <c r="I44" s="59" t="s">
        <v>163</v>
      </c>
      <c r="J44" s="59" t="s">
        <v>403</v>
      </c>
      <c r="K44" s="59"/>
      <c r="M44" s="347"/>
      <c r="N44" s="347"/>
      <c r="O44" s="59" t="s">
        <v>179</v>
      </c>
      <c r="P44" s="61" t="s">
        <v>404</v>
      </c>
      <c r="Q44" s="59" t="s">
        <v>405</v>
      </c>
      <c r="S44" s="347"/>
      <c r="T44" s="346"/>
      <c r="U44" s="59" t="s">
        <v>406</v>
      </c>
      <c r="V44" s="59" t="s">
        <v>403</v>
      </c>
      <c r="W44" s="59"/>
      <c r="Y44" s="347"/>
      <c r="Z44" s="59" t="s">
        <v>282</v>
      </c>
      <c r="AA44" s="59" t="s">
        <v>283</v>
      </c>
      <c r="AB44" s="66" t="s">
        <v>393</v>
      </c>
      <c r="AC44" s="63"/>
      <c r="AE44" s="347"/>
      <c r="AF44" s="347"/>
      <c r="AG44" s="59" t="s">
        <v>163</v>
      </c>
      <c r="AH44" s="63" t="s">
        <v>399</v>
      </c>
      <c r="AI44" s="67"/>
    </row>
    <row r="45" spans="1:35" ht="36.75" thickBot="1" x14ac:dyDescent="0.3">
      <c r="A45" s="347"/>
      <c r="B45" s="346"/>
      <c r="C45" s="59" t="s">
        <v>331</v>
      </c>
      <c r="D45" s="59" t="s">
        <v>332</v>
      </c>
      <c r="E45" s="59"/>
      <c r="G45" s="347"/>
      <c r="H45" s="347"/>
      <c r="I45" s="59" t="s">
        <v>179</v>
      </c>
      <c r="J45" s="59" t="s">
        <v>407</v>
      </c>
      <c r="K45" s="59"/>
      <c r="M45" s="347"/>
      <c r="N45" s="346"/>
      <c r="O45" s="59" t="s">
        <v>408</v>
      </c>
      <c r="P45" s="59" t="s">
        <v>399</v>
      </c>
      <c r="Q45" s="59"/>
      <c r="S45" s="347"/>
      <c r="T45" s="61" t="s">
        <v>348</v>
      </c>
      <c r="U45" s="59" t="s">
        <v>349</v>
      </c>
      <c r="V45" s="59" t="s">
        <v>350</v>
      </c>
      <c r="W45" s="59" t="s">
        <v>349</v>
      </c>
      <c r="Y45" s="347"/>
      <c r="Z45" s="345" t="s">
        <v>297</v>
      </c>
      <c r="AA45" s="59" t="s">
        <v>171</v>
      </c>
      <c r="AB45" s="63" t="s">
        <v>399</v>
      </c>
      <c r="AC45" s="67"/>
      <c r="AE45" s="347"/>
      <c r="AF45" s="347"/>
      <c r="AG45" s="59" t="s">
        <v>179</v>
      </c>
      <c r="AH45" s="63" t="s">
        <v>409</v>
      </c>
      <c r="AI45" s="67"/>
    </row>
    <row r="46" spans="1:35" ht="36.75" thickBot="1" x14ac:dyDescent="0.3">
      <c r="A46" s="347"/>
      <c r="B46" s="61" t="s">
        <v>348</v>
      </c>
      <c r="C46" s="59" t="s">
        <v>349</v>
      </c>
      <c r="D46" s="59" t="s">
        <v>350</v>
      </c>
      <c r="E46" s="59" t="s">
        <v>349</v>
      </c>
      <c r="G46" s="347"/>
      <c r="H46" s="346"/>
      <c r="I46" s="59" t="s">
        <v>331</v>
      </c>
      <c r="J46" s="59" t="s">
        <v>410</v>
      </c>
      <c r="K46" s="59"/>
      <c r="M46" s="347"/>
      <c r="N46" s="61" t="s">
        <v>348</v>
      </c>
      <c r="O46" s="59" t="s">
        <v>349</v>
      </c>
      <c r="P46" s="59" t="s">
        <v>401</v>
      </c>
      <c r="Q46" s="59" t="s">
        <v>349</v>
      </c>
      <c r="S46" s="347"/>
      <c r="T46" s="345" t="s">
        <v>355</v>
      </c>
      <c r="U46" s="345" t="s">
        <v>356</v>
      </c>
      <c r="V46" s="341" t="s">
        <v>411</v>
      </c>
      <c r="W46" s="350"/>
      <c r="Y46" s="347"/>
      <c r="Z46" s="347"/>
      <c r="AA46" s="59" t="s">
        <v>163</v>
      </c>
      <c r="AB46" s="63" t="s">
        <v>298</v>
      </c>
      <c r="AC46" s="67"/>
      <c r="AE46" s="347"/>
      <c r="AF46" s="346"/>
      <c r="AG46" s="59" t="s">
        <v>412</v>
      </c>
      <c r="AH46" s="63" t="s">
        <v>332</v>
      </c>
      <c r="AI46" s="67"/>
    </row>
    <row r="47" spans="1:35" ht="15.75" thickBot="1" x14ac:dyDescent="0.3">
      <c r="A47" s="347"/>
      <c r="B47" s="345" t="s">
        <v>355</v>
      </c>
      <c r="C47" s="345" t="s">
        <v>356</v>
      </c>
      <c r="D47" s="341" t="s">
        <v>357</v>
      </c>
      <c r="E47" s="350"/>
      <c r="G47" s="347"/>
      <c r="H47" s="61" t="s">
        <v>348</v>
      </c>
      <c r="I47" s="59" t="s">
        <v>349</v>
      </c>
      <c r="J47" s="59" t="s">
        <v>413</v>
      </c>
      <c r="K47" s="59" t="s">
        <v>349</v>
      </c>
      <c r="M47" s="347"/>
      <c r="N47" s="345" t="s">
        <v>355</v>
      </c>
      <c r="O47" s="345" t="s">
        <v>356</v>
      </c>
      <c r="P47" s="341" t="s">
        <v>414</v>
      </c>
      <c r="Q47" s="350" t="s">
        <v>415</v>
      </c>
      <c r="S47" s="346"/>
      <c r="T47" s="346"/>
      <c r="U47" s="346"/>
      <c r="V47" s="342"/>
      <c r="W47" s="351"/>
      <c r="Y47" s="347"/>
      <c r="Z47" s="347"/>
      <c r="AA47" s="59" t="s">
        <v>179</v>
      </c>
      <c r="AB47" s="63" t="s">
        <v>311</v>
      </c>
      <c r="AC47" s="67"/>
      <c r="AE47" s="347"/>
      <c r="AF47" s="61" t="s">
        <v>348</v>
      </c>
      <c r="AG47" s="59" t="s">
        <v>349</v>
      </c>
      <c r="AH47" s="63" t="s">
        <v>350</v>
      </c>
      <c r="AI47" s="63" t="s">
        <v>349</v>
      </c>
    </row>
    <row r="48" spans="1:35" ht="15.75" thickBot="1" x14ac:dyDescent="0.3">
      <c r="A48" s="346"/>
      <c r="B48" s="346"/>
      <c r="C48" s="346"/>
      <c r="D48" s="342"/>
      <c r="E48" s="351"/>
      <c r="G48" s="347"/>
      <c r="H48" s="345" t="s">
        <v>355</v>
      </c>
      <c r="I48" s="345" t="s">
        <v>356</v>
      </c>
      <c r="J48" s="341" t="s">
        <v>416</v>
      </c>
      <c r="K48" s="350"/>
      <c r="M48" s="346"/>
      <c r="N48" s="346"/>
      <c r="O48" s="346"/>
      <c r="P48" s="342"/>
      <c r="Q48" s="351"/>
      <c r="S48" s="345" t="s">
        <v>417</v>
      </c>
      <c r="T48" s="345" t="s">
        <v>418</v>
      </c>
      <c r="U48" s="345" t="s">
        <v>419</v>
      </c>
      <c r="V48" s="341" t="s">
        <v>420</v>
      </c>
      <c r="W48" s="345" t="s">
        <v>421</v>
      </c>
      <c r="Y48" s="347"/>
      <c r="Z48" s="346"/>
      <c r="AA48" s="59" t="s">
        <v>412</v>
      </c>
      <c r="AB48" s="63" t="s">
        <v>311</v>
      </c>
      <c r="AC48" s="67"/>
      <c r="AE48" s="347"/>
      <c r="AF48" s="345" t="s">
        <v>355</v>
      </c>
      <c r="AG48" s="345" t="s">
        <v>356</v>
      </c>
      <c r="AH48" s="343" t="s">
        <v>357</v>
      </c>
      <c r="AI48" s="362"/>
    </row>
    <row r="49" spans="1:35" ht="15.75" thickBot="1" x14ac:dyDescent="0.3">
      <c r="A49" s="345" t="s">
        <v>417</v>
      </c>
      <c r="B49" s="345" t="s">
        <v>418</v>
      </c>
      <c r="C49" s="345" t="s">
        <v>419</v>
      </c>
      <c r="D49" s="341" t="s">
        <v>420</v>
      </c>
      <c r="E49" s="345"/>
      <c r="G49" s="346"/>
      <c r="H49" s="346"/>
      <c r="I49" s="346"/>
      <c r="J49" s="342"/>
      <c r="K49" s="351"/>
      <c r="M49" s="345" t="s">
        <v>417</v>
      </c>
      <c r="N49" s="345" t="s">
        <v>418</v>
      </c>
      <c r="O49" s="345" t="s">
        <v>419</v>
      </c>
      <c r="P49" s="341" t="s">
        <v>420</v>
      </c>
      <c r="Q49" s="345" t="s">
        <v>421</v>
      </c>
      <c r="S49" s="347"/>
      <c r="T49" s="346"/>
      <c r="U49" s="346"/>
      <c r="V49" s="342"/>
      <c r="W49" s="346"/>
      <c r="Y49" s="347"/>
      <c r="Z49" s="61" t="s">
        <v>348</v>
      </c>
      <c r="AA49" s="59" t="s">
        <v>349</v>
      </c>
      <c r="AB49" s="63" t="s">
        <v>413</v>
      </c>
      <c r="AC49" s="63" t="s">
        <v>349</v>
      </c>
      <c r="AE49" s="346"/>
      <c r="AF49" s="346"/>
      <c r="AG49" s="346"/>
      <c r="AH49" s="344"/>
      <c r="AI49" s="363"/>
    </row>
    <row r="50" spans="1:35" ht="15.75" thickBot="1" x14ac:dyDescent="0.3">
      <c r="A50" s="347"/>
      <c r="B50" s="346"/>
      <c r="C50" s="346"/>
      <c r="D50" s="342"/>
      <c r="E50" s="346"/>
      <c r="G50" s="345" t="s">
        <v>417</v>
      </c>
      <c r="H50" s="345" t="s">
        <v>418</v>
      </c>
      <c r="I50" s="345" t="s">
        <v>419</v>
      </c>
      <c r="J50" s="341" t="s">
        <v>420</v>
      </c>
      <c r="K50" s="345" t="s">
        <v>421</v>
      </c>
      <c r="M50" s="347"/>
      <c r="N50" s="346"/>
      <c r="O50" s="346"/>
      <c r="P50" s="342"/>
      <c r="Q50" s="346"/>
      <c r="S50" s="346"/>
      <c r="T50" s="59" t="s">
        <v>422</v>
      </c>
      <c r="U50" s="59" t="s">
        <v>423</v>
      </c>
      <c r="V50" s="61" t="s">
        <v>424</v>
      </c>
      <c r="W50" s="59" t="s">
        <v>423</v>
      </c>
      <c r="Y50" s="347"/>
      <c r="Z50" s="345" t="s">
        <v>355</v>
      </c>
      <c r="AA50" s="345" t="s">
        <v>356</v>
      </c>
      <c r="AB50" s="343" t="s">
        <v>416</v>
      </c>
      <c r="AC50" s="350"/>
      <c r="AE50" s="345" t="s">
        <v>417</v>
      </c>
      <c r="AF50" s="345" t="s">
        <v>418</v>
      </c>
      <c r="AG50" s="345" t="s">
        <v>419</v>
      </c>
      <c r="AH50" s="343" t="s">
        <v>420</v>
      </c>
      <c r="AI50" s="348" t="s">
        <v>421</v>
      </c>
    </row>
    <row r="51" spans="1:35" ht="24.75" thickBot="1" x14ac:dyDescent="0.3">
      <c r="A51" s="346"/>
      <c r="B51" s="59" t="s">
        <v>422</v>
      </c>
      <c r="C51" s="59" t="s">
        <v>423</v>
      </c>
      <c r="D51" s="61" t="s">
        <v>424</v>
      </c>
      <c r="E51" s="59" t="s">
        <v>423</v>
      </c>
      <c r="G51" s="347"/>
      <c r="H51" s="346"/>
      <c r="I51" s="346"/>
      <c r="J51" s="342"/>
      <c r="K51" s="346"/>
      <c r="M51" s="346"/>
      <c r="N51" s="59" t="s">
        <v>422</v>
      </c>
      <c r="O51" s="59" t="s">
        <v>423</v>
      </c>
      <c r="P51" s="61" t="s">
        <v>424</v>
      </c>
      <c r="Q51" s="59" t="s">
        <v>423</v>
      </c>
      <c r="S51" s="345" t="s">
        <v>425</v>
      </c>
      <c r="T51" s="59" t="s">
        <v>426</v>
      </c>
      <c r="U51" s="59" t="s">
        <v>427</v>
      </c>
      <c r="V51" s="59"/>
      <c r="W51" s="61" t="s">
        <v>428</v>
      </c>
      <c r="Y51" s="346"/>
      <c r="Z51" s="346"/>
      <c r="AA51" s="346"/>
      <c r="AB51" s="344"/>
      <c r="AC51" s="351"/>
      <c r="AE51" s="347"/>
      <c r="AF51" s="346"/>
      <c r="AG51" s="346"/>
      <c r="AH51" s="344"/>
      <c r="AI51" s="349"/>
    </row>
    <row r="52" spans="1:35" ht="24.75" thickBot="1" x14ac:dyDescent="0.3">
      <c r="A52" s="345" t="s">
        <v>425</v>
      </c>
      <c r="B52" s="59" t="s">
        <v>426</v>
      </c>
      <c r="C52" s="59" t="s">
        <v>427</v>
      </c>
      <c r="D52" s="59"/>
      <c r="E52" s="61" t="s">
        <v>428</v>
      </c>
      <c r="G52" s="346"/>
      <c r="H52" s="59" t="s">
        <v>422</v>
      </c>
      <c r="I52" s="59" t="s">
        <v>423</v>
      </c>
      <c r="J52" s="61" t="s">
        <v>424</v>
      </c>
      <c r="K52" s="59" t="s">
        <v>423</v>
      </c>
      <c r="M52" s="345" t="s">
        <v>425</v>
      </c>
      <c r="N52" s="59" t="s">
        <v>426</v>
      </c>
      <c r="O52" s="59" t="s">
        <v>427</v>
      </c>
      <c r="P52" s="59"/>
      <c r="Q52" s="61" t="s">
        <v>428</v>
      </c>
      <c r="S52" s="346"/>
      <c r="T52" s="59" t="s">
        <v>429</v>
      </c>
      <c r="U52" s="59" t="s">
        <v>430</v>
      </c>
      <c r="V52" s="62">
        <v>0</v>
      </c>
      <c r="W52" s="61" t="s">
        <v>431</v>
      </c>
      <c r="Y52" s="345" t="s">
        <v>417</v>
      </c>
      <c r="Z52" s="59" t="s">
        <v>418</v>
      </c>
      <c r="AA52" s="63" t="s">
        <v>432</v>
      </c>
      <c r="AB52" s="63" t="s">
        <v>424</v>
      </c>
      <c r="AC52" s="63" t="s">
        <v>433</v>
      </c>
      <c r="AE52" s="346"/>
      <c r="AF52" s="59" t="s">
        <v>422</v>
      </c>
      <c r="AG52" s="59" t="s">
        <v>423</v>
      </c>
      <c r="AH52" s="66" t="s">
        <v>424</v>
      </c>
      <c r="AI52" s="63" t="s">
        <v>423</v>
      </c>
    </row>
    <row r="53" spans="1:35" ht="15.75" thickBot="1" x14ac:dyDescent="0.3">
      <c r="A53" s="346"/>
      <c r="B53" s="59" t="s">
        <v>429</v>
      </c>
      <c r="C53" s="59" t="s">
        <v>430</v>
      </c>
      <c r="D53" s="62">
        <v>0</v>
      </c>
      <c r="E53" s="61" t="s">
        <v>431</v>
      </c>
      <c r="G53" s="345" t="s">
        <v>425</v>
      </c>
      <c r="H53" s="59" t="s">
        <v>426</v>
      </c>
      <c r="I53" s="59" t="s">
        <v>427</v>
      </c>
      <c r="J53" s="59"/>
      <c r="K53" s="61" t="s">
        <v>428</v>
      </c>
      <c r="M53" s="346"/>
      <c r="N53" s="59" t="s">
        <v>429</v>
      </c>
      <c r="O53" s="59" t="s">
        <v>430</v>
      </c>
      <c r="P53" s="62">
        <v>0</v>
      </c>
      <c r="Q53" s="61" t="s">
        <v>431</v>
      </c>
      <c r="Y53" s="346"/>
      <c r="Z53" s="59" t="s">
        <v>422</v>
      </c>
      <c r="AA53" s="63" t="s">
        <v>168</v>
      </c>
      <c r="AB53" s="66" t="s">
        <v>424</v>
      </c>
      <c r="AC53" s="59"/>
      <c r="AE53" s="345" t="s">
        <v>425</v>
      </c>
      <c r="AF53" s="59" t="s">
        <v>426</v>
      </c>
      <c r="AG53" s="59" t="s">
        <v>427</v>
      </c>
      <c r="AH53" s="63"/>
      <c r="AI53" s="66" t="s">
        <v>428</v>
      </c>
    </row>
    <row r="54" spans="1:35" ht="15.75" thickBot="1" x14ac:dyDescent="0.3">
      <c r="G54" s="346"/>
      <c r="H54" s="59" t="s">
        <v>429</v>
      </c>
      <c r="I54" s="59" t="s">
        <v>430</v>
      </c>
      <c r="J54" s="62">
        <v>0</v>
      </c>
      <c r="K54" s="61" t="s">
        <v>431</v>
      </c>
      <c r="Y54" s="345" t="s">
        <v>425</v>
      </c>
      <c r="Z54" s="364" t="s">
        <v>426</v>
      </c>
      <c r="AA54" s="63" t="s">
        <v>427</v>
      </c>
      <c r="AB54" s="63" t="s">
        <v>434</v>
      </c>
      <c r="AC54" s="66"/>
      <c r="AE54" s="346"/>
      <c r="AF54" s="59" t="s">
        <v>429</v>
      </c>
      <c r="AG54" s="59" t="s">
        <v>430</v>
      </c>
      <c r="AH54" s="65">
        <v>0</v>
      </c>
      <c r="AI54" s="66" t="s">
        <v>431</v>
      </c>
    </row>
    <row r="55" spans="1:35" ht="15.75" thickBot="1" x14ac:dyDescent="0.3">
      <c r="Y55" s="347"/>
      <c r="Z55" s="365"/>
      <c r="AA55" s="63" t="s">
        <v>435</v>
      </c>
      <c r="AB55" s="63" t="s">
        <v>436</v>
      </c>
      <c r="AC55" s="66" t="s">
        <v>437</v>
      </c>
    </row>
    <row r="56" spans="1:35" ht="15.75" thickBot="1" x14ac:dyDescent="0.3">
      <c r="Y56" s="346"/>
      <c r="Z56" s="59" t="s">
        <v>429</v>
      </c>
      <c r="AA56" s="63" t="s">
        <v>430</v>
      </c>
      <c r="AB56" s="64">
        <v>0</v>
      </c>
      <c r="AC56" s="66"/>
    </row>
  </sheetData>
  <sheetProtection algorithmName="SHA-512" hashValue="U36bIHe46WfsToSoQPjzi1mmKm6+TfORnPOw71t3nICaVFTI6EhMkCuY5eYpzhizCiddvdZZ+1fPhlMHza+xlg==" saltValue="1mtuTvLMImOR4GAdWjZl4w==" spinCount="100000" sheet="1" objects="1" scenarios="1"/>
  <mergeCells count="273">
    <mergeCell ref="B15:B16"/>
    <mergeCell ref="A52:A53"/>
    <mergeCell ref="G11:H12"/>
    <mergeCell ref="G17:G27"/>
    <mergeCell ref="H17:H20"/>
    <mergeCell ref="H25:H26"/>
    <mergeCell ref="G28:G37"/>
    <mergeCell ref="A38:A48"/>
    <mergeCell ref="B39:B40"/>
    <mergeCell ref="C39:C40"/>
    <mergeCell ref="E39:E40"/>
    <mergeCell ref="B42:B45"/>
    <mergeCell ref="B47:B48"/>
    <mergeCell ref="C47:C48"/>
    <mergeCell ref="E47:E48"/>
    <mergeCell ref="D39:D40"/>
    <mergeCell ref="D47:D48"/>
    <mergeCell ref="A28:A37"/>
    <mergeCell ref="B28:B30"/>
    <mergeCell ref="B31:B32"/>
    <mergeCell ref="C31:C32"/>
    <mergeCell ref="E31:E32"/>
    <mergeCell ref="B34:B36"/>
    <mergeCell ref="A17:A27"/>
    <mergeCell ref="B17:B20"/>
    <mergeCell ref="I11:J11"/>
    <mergeCell ref="K11:K12"/>
    <mergeCell ref="G13:G16"/>
    <mergeCell ref="H13:H14"/>
    <mergeCell ref="K13:K16"/>
    <mergeCell ref="H15:H16"/>
    <mergeCell ref="A49:A51"/>
    <mergeCell ref="B49:B50"/>
    <mergeCell ref="C49:C50"/>
    <mergeCell ref="E49:E50"/>
    <mergeCell ref="C17:C18"/>
    <mergeCell ref="E17:E18"/>
    <mergeCell ref="C19:C20"/>
    <mergeCell ref="E19:E20"/>
    <mergeCell ref="B21:B22"/>
    <mergeCell ref="C21:C22"/>
    <mergeCell ref="E21:E22"/>
    <mergeCell ref="B25:B26"/>
    <mergeCell ref="A11:B12"/>
    <mergeCell ref="C11:D11"/>
    <mergeCell ref="E11:E12"/>
    <mergeCell ref="A13:A16"/>
    <mergeCell ref="B13:B14"/>
    <mergeCell ref="H28:H30"/>
    <mergeCell ref="H31:H32"/>
    <mergeCell ref="I31:I32"/>
    <mergeCell ref="K31:K32"/>
    <mergeCell ref="H34:H36"/>
    <mergeCell ref="G38:G49"/>
    <mergeCell ref="E13:E16"/>
    <mergeCell ref="H38:H39"/>
    <mergeCell ref="H40:H41"/>
    <mergeCell ref="I40:I41"/>
    <mergeCell ref="K40:K41"/>
    <mergeCell ref="I17:I18"/>
    <mergeCell ref="K17:K18"/>
    <mergeCell ref="I19:I20"/>
    <mergeCell ref="K19:K20"/>
    <mergeCell ref="H21:H22"/>
    <mergeCell ref="I21:I22"/>
    <mergeCell ref="K21:K22"/>
    <mergeCell ref="O19:O20"/>
    <mergeCell ref="Q19:Q20"/>
    <mergeCell ref="N21:N22"/>
    <mergeCell ref="O21:O22"/>
    <mergeCell ref="Q21:Q22"/>
    <mergeCell ref="P21:P22"/>
    <mergeCell ref="G53:G54"/>
    <mergeCell ref="M11:N12"/>
    <mergeCell ref="O11:P11"/>
    <mergeCell ref="Q11:Q12"/>
    <mergeCell ref="M13:M16"/>
    <mergeCell ref="N13:N14"/>
    <mergeCell ref="Q13:Q16"/>
    <mergeCell ref="N15:N16"/>
    <mergeCell ref="M17:M27"/>
    <mergeCell ref="N17:N20"/>
    <mergeCell ref="H43:H46"/>
    <mergeCell ref="H48:H49"/>
    <mergeCell ref="I48:I49"/>
    <mergeCell ref="K48:K49"/>
    <mergeCell ref="G50:G52"/>
    <mergeCell ref="H50:H51"/>
    <mergeCell ref="I50:I51"/>
    <mergeCell ref="K50:K51"/>
    <mergeCell ref="M49:M51"/>
    <mergeCell ref="N49:N50"/>
    <mergeCell ref="O49:O50"/>
    <mergeCell ref="Q49:Q50"/>
    <mergeCell ref="M52:M53"/>
    <mergeCell ref="S17:S27"/>
    <mergeCell ref="T17:T20"/>
    <mergeCell ref="T25:T26"/>
    <mergeCell ref="S28:S36"/>
    <mergeCell ref="M38:M48"/>
    <mergeCell ref="N39:N40"/>
    <mergeCell ref="O39:O40"/>
    <mergeCell ref="Q39:Q40"/>
    <mergeCell ref="N42:N45"/>
    <mergeCell ref="N47:N48"/>
    <mergeCell ref="O47:O48"/>
    <mergeCell ref="Q47:Q48"/>
    <mergeCell ref="P39:P40"/>
    <mergeCell ref="P47:P48"/>
    <mergeCell ref="N25:N26"/>
    <mergeCell ref="N34:N36"/>
    <mergeCell ref="P31:P32"/>
    <mergeCell ref="O17:O18"/>
    <mergeCell ref="Q17:Q18"/>
    <mergeCell ref="U11:V11"/>
    <mergeCell ref="W11:W12"/>
    <mergeCell ref="S11:T12"/>
    <mergeCell ref="Z35:Z37"/>
    <mergeCell ref="AB32:AB33"/>
    <mergeCell ref="AA20:AA21"/>
    <mergeCell ref="AC20:AC21"/>
    <mergeCell ref="W48:W49"/>
    <mergeCell ref="T28:T30"/>
    <mergeCell ref="T31:T32"/>
    <mergeCell ref="U31:U32"/>
    <mergeCell ref="W31:W32"/>
    <mergeCell ref="T34:T35"/>
    <mergeCell ref="S37:S47"/>
    <mergeCell ref="T38:T39"/>
    <mergeCell ref="U38:U39"/>
    <mergeCell ref="W38:W39"/>
    <mergeCell ref="T41:T44"/>
    <mergeCell ref="S13:S16"/>
    <mergeCell ref="T13:T14"/>
    <mergeCell ref="W13:W16"/>
    <mergeCell ref="T15:T16"/>
    <mergeCell ref="T46:T47"/>
    <mergeCell ref="U46:U47"/>
    <mergeCell ref="W46:W47"/>
    <mergeCell ref="U17:U18"/>
    <mergeCell ref="W17:W18"/>
    <mergeCell ref="U19:U20"/>
    <mergeCell ref="W19:W20"/>
    <mergeCell ref="T21:T22"/>
    <mergeCell ref="U21:U22"/>
    <mergeCell ref="W21:W22"/>
    <mergeCell ref="Z26:Z27"/>
    <mergeCell ref="Y52:Y53"/>
    <mergeCell ref="Y54:Y56"/>
    <mergeCell ref="Z54:Z55"/>
    <mergeCell ref="AC11:AC12"/>
    <mergeCell ref="Y13:Y18"/>
    <mergeCell ref="Z13:Z15"/>
    <mergeCell ref="AC13:AC18"/>
    <mergeCell ref="Z16:Z18"/>
    <mergeCell ref="Y19:Y28"/>
    <mergeCell ref="Z19:Z21"/>
    <mergeCell ref="AE11:AF12"/>
    <mergeCell ref="AG11:AH11"/>
    <mergeCell ref="AF34:AF36"/>
    <mergeCell ref="AE38:AE49"/>
    <mergeCell ref="AF38:AF39"/>
    <mergeCell ref="AF40:AF41"/>
    <mergeCell ref="Y39:Y51"/>
    <mergeCell ref="Z39:Z41"/>
    <mergeCell ref="AA40:AA41"/>
    <mergeCell ref="AC40:AC41"/>
    <mergeCell ref="Z42:Z43"/>
    <mergeCell ref="AA42:AA43"/>
    <mergeCell ref="AC42:AC43"/>
    <mergeCell ref="Z45:Z48"/>
    <mergeCell ref="Z50:Z51"/>
    <mergeCell ref="AA50:AA51"/>
    <mergeCell ref="Y29:Y38"/>
    <mergeCell ref="Z29:Z31"/>
    <mergeCell ref="Z32:Z33"/>
    <mergeCell ref="AA32:AA33"/>
    <mergeCell ref="AC32:AC33"/>
    <mergeCell ref="Z22:Z23"/>
    <mergeCell ref="AA22:AA23"/>
    <mergeCell ref="AC22:AC23"/>
    <mergeCell ref="AE53:AE54"/>
    <mergeCell ref="AK11:AL12"/>
    <mergeCell ref="AK18:AK20"/>
    <mergeCell ref="AL19:AL20"/>
    <mergeCell ref="AK21:AK31"/>
    <mergeCell ref="AL24:AL28"/>
    <mergeCell ref="AG40:AG41"/>
    <mergeCell ref="AI40:AI41"/>
    <mergeCell ref="AF43:AF46"/>
    <mergeCell ref="AF48:AF49"/>
    <mergeCell ref="AG48:AG49"/>
    <mergeCell ref="AI48:AI49"/>
    <mergeCell ref="AI19:AI20"/>
    <mergeCell ref="AF21:AF22"/>
    <mergeCell ref="AG21:AG22"/>
    <mergeCell ref="AI21:AI22"/>
    <mergeCell ref="AF25:AF26"/>
    <mergeCell ref="AE28:AE37"/>
    <mergeCell ref="AF28:AF30"/>
    <mergeCell ref="AF31:AF32"/>
    <mergeCell ref="AG31:AG32"/>
    <mergeCell ref="AI31:AI32"/>
    <mergeCell ref="AI11:AI12"/>
    <mergeCell ref="AE13:AE16"/>
    <mergeCell ref="AP30:AP31"/>
    <mergeCell ref="D17:D18"/>
    <mergeCell ref="D19:D20"/>
    <mergeCell ref="D21:D22"/>
    <mergeCell ref="J21:J22"/>
    <mergeCell ref="D31:D32"/>
    <mergeCell ref="P17:P18"/>
    <mergeCell ref="P19:P20"/>
    <mergeCell ref="AM11:AN11"/>
    <mergeCell ref="AP11:AP12"/>
    <mergeCell ref="AK13:AK16"/>
    <mergeCell ref="AL13:AL14"/>
    <mergeCell ref="AP13:AP16"/>
    <mergeCell ref="AL15:AL16"/>
    <mergeCell ref="AF13:AF14"/>
    <mergeCell ref="AI13:AI16"/>
    <mergeCell ref="AF15:AF16"/>
    <mergeCell ref="AE17:AE27"/>
    <mergeCell ref="AF17:AF20"/>
    <mergeCell ref="AG17:AG18"/>
    <mergeCell ref="AI17:AI18"/>
    <mergeCell ref="AG19:AG20"/>
    <mergeCell ref="Y11:Z12"/>
    <mergeCell ref="AA11:AB11"/>
    <mergeCell ref="P49:P50"/>
    <mergeCell ref="V17:V18"/>
    <mergeCell ref="V19:V20"/>
    <mergeCell ref="V21:V22"/>
    <mergeCell ref="V31:V32"/>
    <mergeCell ref="V38:V39"/>
    <mergeCell ref="V46:V47"/>
    <mergeCell ref="V48:V49"/>
    <mergeCell ref="D49:D50"/>
    <mergeCell ref="J17:J18"/>
    <mergeCell ref="J19:J20"/>
    <mergeCell ref="J31:J32"/>
    <mergeCell ref="J40:J41"/>
    <mergeCell ref="J48:J49"/>
    <mergeCell ref="J50:J51"/>
    <mergeCell ref="S51:S52"/>
    <mergeCell ref="S48:S50"/>
    <mergeCell ref="T48:T49"/>
    <mergeCell ref="U48:U49"/>
    <mergeCell ref="M28:M37"/>
    <mergeCell ref="N28:N30"/>
    <mergeCell ref="N31:N32"/>
    <mergeCell ref="O31:O32"/>
    <mergeCell ref="Q31:Q32"/>
    <mergeCell ref="AN30:AN31"/>
    <mergeCell ref="AB40:AB41"/>
    <mergeCell ref="AB42:AB43"/>
    <mergeCell ref="AB50:AB51"/>
    <mergeCell ref="AH17:AH18"/>
    <mergeCell ref="AH19:AH20"/>
    <mergeCell ref="AH21:AH22"/>
    <mergeCell ref="AH31:AH32"/>
    <mergeCell ref="AH40:AH41"/>
    <mergeCell ref="AH48:AH49"/>
    <mergeCell ref="AH50:AH51"/>
    <mergeCell ref="AL30:AL31"/>
    <mergeCell ref="AM30:AM31"/>
    <mergeCell ref="AE50:AE52"/>
    <mergeCell ref="AF50:AF51"/>
    <mergeCell ref="AG50:AG51"/>
    <mergeCell ref="AI50:AI51"/>
    <mergeCell ref="AC50:AC51"/>
    <mergeCell ref="AB20:AB21"/>
    <mergeCell ref="AB22:AB23"/>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showGridLines="0" workbookViewId="0">
      <selection activeCell="A3" sqref="A3:J5"/>
    </sheetView>
  </sheetViews>
  <sheetFormatPr baseColWidth="10" defaultColWidth="11.42578125" defaultRowHeight="15" x14ac:dyDescent="0.25"/>
  <sheetData>
    <row r="1" spans="1:10" ht="15.75" thickBot="1" x14ac:dyDescent="0.3"/>
    <row r="2" spans="1:10" ht="19.5" thickBot="1" x14ac:dyDescent="0.35">
      <c r="A2" s="366" t="s">
        <v>438</v>
      </c>
      <c r="B2" s="367"/>
      <c r="C2" s="367"/>
      <c r="D2" s="367"/>
      <c r="E2" s="367"/>
      <c r="F2" s="367"/>
      <c r="G2" s="367"/>
      <c r="H2" s="367"/>
      <c r="I2" s="367"/>
      <c r="J2" s="368"/>
    </row>
    <row r="3" spans="1:10" ht="15" customHeight="1" x14ac:dyDescent="0.25">
      <c r="A3" s="381" t="s">
        <v>439</v>
      </c>
      <c r="B3" s="382"/>
      <c r="C3" s="382"/>
      <c r="D3" s="382"/>
      <c r="E3" s="382"/>
      <c r="F3" s="382"/>
      <c r="G3" s="382"/>
      <c r="H3" s="382"/>
      <c r="I3" s="382"/>
      <c r="J3" s="383"/>
    </row>
    <row r="4" spans="1:10" x14ac:dyDescent="0.25">
      <c r="A4" s="384"/>
      <c r="B4" s="385"/>
      <c r="C4" s="385"/>
      <c r="D4" s="385"/>
      <c r="E4" s="385"/>
      <c r="F4" s="385"/>
      <c r="G4" s="385"/>
      <c r="H4" s="385"/>
      <c r="I4" s="385"/>
      <c r="J4" s="386"/>
    </row>
    <row r="5" spans="1:10" ht="15.75" thickBot="1" x14ac:dyDescent="0.3">
      <c r="A5" s="387"/>
      <c r="B5" s="388"/>
      <c r="C5" s="388"/>
      <c r="D5" s="388"/>
      <c r="E5" s="388"/>
      <c r="F5" s="388"/>
      <c r="G5" s="388"/>
      <c r="H5" s="388"/>
      <c r="I5" s="388"/>
      <c r="J5" s="389"/>
    </row>
    <row r="6" spans="1:10" ht="15.75" thickBot="1" x14ac:dyDescent="0.3">
      <c r="A6" s="81"/>
      <c r="B6" s="81"/>
      <c r="C6" s="81"/>
      <c r="D6" s="81"/>
      <c r="E6" s="81"/>
      <c r="F6" s="81"/>
      <c r="G6" s="81"/>
      <c r="H6" s="81"/>
      <c r="I6" s="81"/>
      <c r="J6" s="81"/>
    </row>
    <row r="7" spans="1:10" ht="15.75" thickBot="1" x14ac:dyDescent="0.3">
      <c r="A7" s="369" t="s">
        <v>440</v>
      </c>
      <c r="B7" s="370"/>
      <c r="C7" s="370"/>
      <c r="D7" s="370"/>
      <c r="E7" s="370"/>
      <c r="F7" s="370"/>
      <c r="G7" s="370"/>
      <c r="H7" s="370"/>
      <c r="I7" s="370"/>
      <c r="J7" s="371"/>
    </row>
    <row r="8" spans="1:10" ht="15" customHeight="1" x14ac:dyDescent="0.25">
      <c r="A8" s="372" t="s">
        <v>441</v>
      </c>
      <c r="B8" s="373"/>
      <c r="C8" s="373"/>
      <c r="D8" s="373"/>
      <c r="E8" s="373"/>
      <c r="F8" s="373"/>
      <c r="G8" s="373"/>
      <c r="H8" s="373"/>
      <c r="I8" s="373"/>
      <c r="J8" s="374"/>
    </row>
    <row r="9" spans="1:10" x14ac:dyDescent="0.25">
      <c r="A9" s="375"/>
      <c r="B9" s="376"/>
      <c r="C9" s="376"/>
      <c r="D9" s="376"/>
      <c r="E9" s="376"/>
      <c r="F9" s="376"/>
      <c r="G9" s="376"/>
      <c r="H9" s="376"/>
      <c r="I9" s="376"/>
      <c r="J9" s="377"/>
    </row>
    <row r="10" spans="1:10" x14ac:dyDescent="0.25">
      <c r="A10" s="375"/>
      <c r="B10" s="376"/>
      <c r="C10" s="376"/>
      <c r="D10" s="376"/>
      <c r="E10" s="376"/>
      <c r="F10" s="376"/>
      <c r="G10" s="376"/>
      <c r="H10" s="376"/>
      <c r="I10" s="376"/>
      <c r="J10" s="377"/>
    </row>
    <row r="11" spans="1:10" x14ac:dyDescent="0.25">
      <c r="A11" s="375"/>
      <c r="B11" s="376"/>
      <c r="C11" s="376"/>
      <c r="D11" s="376"/>
      <c r="E11" s="376"/>
      <c r="F11" s="376"/>
      <c r="G11" s="376"/>
      <c r="H11" s="376"/>
      <c r="I11" s="376"/>
      <c r="J11" s="377"/>
    </row>
    <row r="12" spans="1:10" x14ac:dyDescent="0.25">
      <c r="A12" s="375"/>
      <c r="B12" s="376"/>
      <c r="C12" s="376"/>
      <c r="D12" s="376"/>
      <c r="E12" s="376"/>
      <c r="F12" s="376"/>
      <c r="G12" s="376"/>
      <c r="H12" s="376"/>
      <c r="I12" s="376"/>
      <c r="J12" s="377"/>
    </row>
    <row r="13" spans="1:10" x14ac:dyDescent="0.25">
      <c r="A13" s="375"/>
      <c r="B13" s="376"/>
      <c r="C13" s="376"/>
      <c r="D13" s="376"/>
      <c r="E13" s="376"/>
      <c r="F13" s="376"/>
      <c r="G13" s="376"/>
      <c r="H13" s="376"/>
      <c r="I13" s="376"/>
      <c r="J13" s="377"/>
    </row>
    <row r="14" spans="1:10" x14ac:dyDescent="0.25">
      <c r="A14" s="375"/>
      <c r="B14" s="376"/>
      <c r="C14" s="376"/>
      <c r="D14" s="376"/>
      <c r="E14" s="376"/>
      <c r="F14" s="376"/>
      <c r="G14" s="376"/>
      <c r="H14" s="376"/>
      <c r="I14" s="376"/>
      <c r="J14" s="377"/>
    </row>
    <row r="15" spans="1:10" x14ac:dyDescent="0.25">
      <c r="A15" s="375"/>
      <c r="B15" s="376"/>
      <c r="C15" s="376"/>
      <c r="D15" s="376"/>
      <c r="E15" s="376"/>
      <c r="F15" s="376"/>
      <c r="G15" s="376"/>
      <c r="H15" s="376"/>
      <c r="I15" s="376"/>
      <c r="J15" s="377"/>
    </row>
    <row r="16" spans="1:10" ht="15.75" thickBot="1" x14ac:dyDescent="0.3">
      <c r="A16" s="378"/>
      <c r="B16" s="379"/>
      <c r="C16" s="379"/>
      <c r="D16" s="379"/>
      <c r="E16" s="379"/>
      <c r="F16" s="379"/>
      <c r="G16" s="379"/>
      <c r="H16" s="379"/>
      <c r="I16" s="379"/>
      <c r="J16" s="380"/>
    </row>
    <row r="17" spans="1:10" ht="15.75" thickBot="1" x14ac:dyDescent="0.3">
      <c r="A17" s="81"/>
      <c r="B17" s="81"/>
      <c r="C17" s="81"/>
      <c r="D17" s="81"/>
      <c r="E17" s="81"/>
      <c r="F17" s="81"/>
      <c r="G17" s="81"/>
      <c r="H17" s="81"/>
      <c r="I17" s="81"/>
      <c r="J17" s="81"/>
    </row>
    <row r="18" spans="1:10" ht="15.75" thickBot="1" x14ac:dyDescent="0.3">
      <c r="A18" s="369" t="s">
        <v>442</v>
      </c>
      <c r="B18" s="370"/>
      <c r="C18" s="370"/>
      <c r="D18" s="370"/>
      <c r="E18" s="370"/>
      <c r="F18" s="370"/>
      <c r="G18" s="370"/>
      <c r="H18" s="370"/>
      <c r="I18" s="370"/>
      <c r="J18" s="371"/>
    </row>
    <row r="19" spans="1:10" x14ac:dyDescent="0.25">
      <c r="A19" s="372" t="s">
        <v>443</v>
      </c>
      <c r="B19" s="373"/>
      <c r="C19" s="373"/>
      <c r="D19" s="373"/>
      <c r="E19" s="373"/>
      <c r="F19" s="373"/>
      <c r="G19" s="373"/>
      <c r="H19" s="373"/>
      <c r="I19" s="373"/>
      <c r="J19" s="374"/>
    </row>
    <row r="20" spans="1:10" x14ac:dyDescent="0.25">
      <c r="A20" s="375"/>
      <c r="B20" s="376"/>
      <c r="C20" s="376"/>
      <c r="D20" s="376"/>
      <c r="E20" s="376"/>
      <c r="F20" s="376"/>
      <c r="G20" s="376"/>
      <c r="H20" s="376"/>
      <c r="I20" s="376"/>
      <c r="J20" s="377"/>
    </row>
    <row r="21" spans="1:10" x14ac:dyDescent="0.25">
      <c r="A21" s="375"/>
      <c r="B21" s="376"/>
      <c r="C21" s="376"/>
      <c r="D21" s="376"/>
      <c r="E21" s="376"/>
      <c r="F21" s="376"/>
      <c r="G21" s="376"/>
      <c r="H21" s="376"/>
      <c r="I21" s="376"/>
      <c r="J21" s="377"/>
    </row>
    <row r="22" spans="1:10" x14ac:dyDescent="0.25">
      <c r="A22" s="375"/>
      <c r="B22" s="376"/>
      <c r="C22" s="376"/>
      <c r="D22" s="376"/>
      <c r="E22" s="376"/>
      <c r="F22" s="376"/>
      <c r="G22" s="376"/>
      <c r="H22" s="376"/>
      <c r="I22" s="376"/>
      <c r="J22" s="377"/>
    </row>
    <row r="23" spans="1:10" x14ac:dyDescent="0.25">
      <c r="A23" s="375"/>
      <c r="B23" s="376"/>
      <c r="C23" s="376"/>
      <c r="D23" s="376"/>
      <c r="E23" s="376"/>
      <c r="F23" s="376"/>
      <c r="G23" s="376"/>
      <c r="H23" s="376"/>
      <c r="I23" s="376"/>
      <c r="J23" s="377"/>
    </row>
    <row r="24" spans="1:10" x14ac:dyDescent="0.25">
      <c r="A24" s="375"/>
      <c r="B24" s="376"/>
      <c r="C24" s="376"/>
      <c r="D24" s="376"/>
      <c r="E24" s="376"/>
      <c r="F24" s="376"/>
      <c r="G24" s="376"/>
      <c r="H24" s="376"/>
      <c r="I24" s="376"/>
      <c r="J24" s="377"/>
    </row>
    <row r="25" spans="1:10" x14ac:dyDescent="0.25">
      <c r="A25" s="375"/>
      <c r="B25" s="376"/>
      <c r="C25" s="376"/>
      <c r="D25" s="376"/>
      <c r="E25" s="376"/>
      <c r="F25" s="376"/>
      <c r="G25" s="376"/>
      <c r="H25" s="376"/>
      <c r="I25" s="376"/>
      <c r="J25" s="377"/>
    </row>
    <row r="26" spans="1:10" ht="15.75" thickBot="1" x14ac:dyDescent="0.3">
      <c r="A26" s="378"/>
      <c r="B26" s="379"/>
      <c r="C26" s="379"/>
      <c r="D26" s="379"/>
      <c r="E26" s="379"/>
      <c r="F26" s="379"/>
      <c r="G26" s="379"/>
      <c r="H26" s="379"/>
      <c r="I26" s="379"/>
      <c r="J26" s="380"/>
    </row>
    <row r="27" spans="1:10" ht="15.75" thickBot="1" x14ac:dyDescent="0.3">
      <c r="A27" s="223"/>
      <c r="B27" s="223"/>
      <c r="C27" s="223"/>
      <c r="D27" s="223"/>
      <c r="E27" s="223"/>
      <c r="F27" s="223"/>
      <c r="G27" s="223"/>
      <c r="H27" s="223"/>
      <c r="I27" s="223"/>
      <c r="J27" s="223"/>
    </row>
    <row r="28" spans="1:10" ht="15.75" thickBot="1" x14ac:dyDescent="0.3">
      <c r="A28" s="390" t="s">
        <v>444</v>
      </c>
      <c r="B28" s="391"/>
      <c r="C28" s="391"/>
      <c r="D28" s="391"/>
      <c r="E28" s="391"/>
      <c r="F28" s="391"/>
      <c r="G28" s="391"/>
      <c r="H28" s="391"/>
      <c r="I28" s="391"/>
      <c r="J28" s="392"/>
    </row>
    <row r="29" spans="1:10" ht="15" customHeight="1" x14ac:dyDescent="0.25">
      <c r="A29" s="372" t="s">
        <v>445</v>
      </c>
      <c r="B29" s="373"/>
      <c r="C29" s="373"/>
      <c r="D29" s="373"/>
      <c r="E29" s="373"/>
      <c r="F29" s="373"/>
      <c r="G29" s="373"/>
      <c r="H29" s="373"/>
      <c r="I29" s="373"/>
      <c r="J29" s="374"/>
    </row>
    <row r="30" spans="1:10" x14ac:dyDescent="0.25">
      <c r="A30" s="375"/>
      <c r="B30" s="376"/>
      <c r="C30" s="376"/>
      <c r="D30" s="376"/>
      <c r="E30" s="376"/>
      <c r="F30" s="376"/>
      <c r="G30" s="376"/>
      <c r="H30" s="376"/>
      <c r="I30" s="376"/>
      <c r="J30" s="377"/>
    </row>
    <row r="31" spans="1:10" x14ac:dyDescent="0.25">
      <c r="A31" s="375"/>
      <c r="B31" s="376"/>
      <c r="C31" s="376"/>
      <c r="D31" s="376"/>
      <c r="E31" s="376"/>
      <c r="F31" s="376"/>
      <c r="G31" s="376"/>
      <c r="H31" s="376"/>
      <c r="I31" s="376"/>
      <c r="J31" s="377"/>
    </row>
    <row r="32" spans="1:10" x14ac:dyDescent="0.25">
      <c r="A32" s="375"/>
      <c r="B32" s="376"/>
      <c r="C32" s="376"/>
      <c r="D32" s="376"/>
      <c r="E32" s="376"/>
      <c r="F32" s="376"/>
      <c r="G32" s="376"/>
      <c r="H32" s="376"/>
      <c r="I32" s="376"/>
      <c r="J32" s="377"/>
    </row>
    <row r="33" spans="1:10" x14ac:dyDescent="0.25">
      <c r="A33" s="375"/>
      <c r="B33" s="376"/>
      <c r="C33" s="376"/>
      <c r="D33" s="376"/>
      <c r="E33" s="376"/>
      <c r="F33" s="376"/>
      <c r="G33" s="376"/>
      <c r="H33" s="376"/>
      <c r="I33" s="376"/>
      <c r="J33" s="377"/>
    </row>
    <row r="34" spans="1:10" x14ac:dyDescent="0.25">
      <c r="A34" s="375"/>
      <c r="B34" s="376"/>
      <c r="C34" s="376"/>
      <c r="D34" s="376"/>
      <c r="E34" s="376"/>
      <c r="F34" s="376"/>
      <c r="G34" s="376"/>
      <c r="H34" s="376"/>
      <c r="I34" s="376"/>
      <c r="J34" s="377"/>
    </row>
    <row r="35" spans="1:10" x14ac:dyDescent="0.25">
      <c r="A35" s="375"/>
      <c r="B35" s="376"/>
      <c r="C35" s="376"/>
      <c r="D35" s="376"/>
      <c r="E35" s="376"/>
      <c r="F35" s="376"/>
      <c r="G35" s="376"/>
      <c r="H35" s="376"/>
      <c r="I35" s="376"/>
      <c r="J35" s="377"/>
    </row>
    <row r="36" spans="1:10" x14ac:dyDescent="0.25">
      <c r="A36" s="375"/>
      <c r="B36" s="376"/>
      <c r="C36" s="376"/>
      <c r="D36" s="376"/>
      <c r="E36" s="376"/>
      <c r="F36" s="376"/>
      <c r="G36" s="376"/>
      <c r="H36" s="376"/>
      <c r="I36" s="376"/>
      <c r="J36" s="377"/>
    </row>
    <row r="37" spans="1:10" x14ac:dyDescent="0.25">
      <c r="A37" s="375"/>
      <c r="B37" s="376"/>
      <c r="C37" s="376"/>
      <c r="D37" s="376"/>
      <c r="E37" s="376"/>
      <c r="F37" s="376"/>
      <c r="G37" s="376"/>
      <c r="H37" s="376"/>
      <c r="I37" s="376"/>
      <c r="J37" s="377"/>
    </row>
    <row r="38" spans="1:10" x14ac:dyDescent="0.25">
      <c r="A38" s="375"/>
      <c r="B38" s="376"/>
      <c r="C38" s="376"/>
      <c r="D38" s="376"/>
      <c r="E38" s="376"/>
      <c r="F38" s="376"/>
      <c r="G38" s="376"/>
      <c r="H38" s="376"/>
      <c r="I38" s="376"/>
      <c r="J38" s="377"/>
    </row>
    <row r="39" spans="1:10" x14ac:dyDescent="0.25">
      <c r="A39" s="375"/>
      <c r="B39" s="376"/>
      <c r="C39" s="376"/>
      <c r="D39" s="376"/>
      <c r="E39" s="376"/>
      <c r="F39" s="376"/>
      <c r="G39" s="376"/>
      <c r="H39" s="376"/>
      <c r="I39" s="376"/>
      <c r="J39" s="377"/>
    </row>
    <row r="40" spans="1:10" ht="15.75" thickBot="1" x14ac:dyDescent="0.3">
      <c r="A40" s="378"/>
      <c r="B40" s="379"/>
      <c r="C40" s="379"/>
      <c r="D40" s="379"/>
      <c r="E40" s="379"/>
      <c r="F40" s="379"/>
      <c r="G40" s="379"/>
      <c r="H40" s="379"/>
      <c r="I40" s="379"/>
      <c r="J40" s="380"/>
    </row>
  </sheetData>
  <sheetProtection algorithmName="SHA-512" hashValue="gvggbYxcr/MCkI59yk9NFG2v82KbSTTYIlMyCryYkjWu3BYei7sc6bXrkPuXP9QKXtesAImac+Y/gR9HYGGA1w==" saltValue="zs0tMFLei/igik+x0F8u+w==" spinCount="100000" sheet="1" objects="1" scenarios="1"/>
  <mergeCells count="8">
    <mergeCell ref="A2:J2"/>
    <mergeCell ref="A7:J7"/>
    <mergeCell ref="A8:J16"/>
    <mergeCell ref="A29:J40"/>
    <mergeCell ref="A3:J5"/>
    <mergeCell ref="A28:J28"/>
    <mergeCell ref="A18:J18"/>
    <mergeCell ref="A19:J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39FE704F80C14DA225DF2A1DC23842" ma:contentTypeVersion="3" ma:contentTypeDescription="Opprett et nytt dokument." ma:contentTypeScope="" ma:versionID="72017b7d6973a274770aa25c7985d7c3">
  <xsd:schema xmlns:xsd="http://www.w3.org/2001/XMLSchema" xmlns:xs="http://www.w3.org/2001/XMLSchema" xmlns:p="http://schemas.microsoft.com/office/2006/metadata/properties" xmlns:ns2="5371e8e2-a9e8-46df-a91b-761db99c8728" xmlns:ns3="7bfd8652-9f54-45a4-9684-efa1596a6182" targetNamespace="http://schemas.microsoft.com/office/2006/metadata/properties" ma:root="true" ma:fieldsID="0125fbfc2b3aaf84cb6aca27429c3b7e" ns2:_="" ns3:_="">
    <xsd:import namespace="5371e8e2-a9e8-46df-a91b-761db99c8728"/>
    <xsd:import namespace="7bfd8652-9f54-45a4-9684-efa1596a618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76814-BBA9-4C35-B241-A63B461F12E6}">
  <ds:schemaRefs>
    <ds:schemaRef ds:uri="http://schemas.microsoft.com/office/2006/metadata/properties"/>
    <ds:schemaRef ds:uri="7bfd8652-9f54-45a4-9684-efa1596a6182"/>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5371e8e2-a9e8-46df-a91b-761db99c8728"/>
    <ds:schemaRef ds:uri="http://www.w3.org/XML/1998/namespace"/>
  </ds:schemaRefs>
</ds:datastoreItem>
</file>

<file path=customXml/itemProps2.xml><?xml version="1.0" encoding="utf-8"?>
<ds:datastoreItem xmlns:ds="http://schemas.openxmlformats.org/officeDocument/2006/customXml" ds:itemID="{BE1E7692-2C1E-4C70-B292-690EA95A7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7bfd8652-9f54-45a4-9684-efa1596a6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40F47E-D57A-45BA-B07C-F9DF39A982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3</vt:i4>
      </vt:variant>
    </vt:vector>
  </HeadingPairs>
  <TitlesOfParts>
    <vt:vector size="10" baseType="lpstr">
      <vt:lpstr>Guide</vt:lpstr>
      <vt:lpstr>Verktøy</vt:lpstr>
      <vt:lpstr>Utslippstall modellbygg</vt:lpstr>
      <vt:lpstr>Nedtrekksmenyer</vt:lpstr>
      <vt:lpstr>Modellbygg og utslippsfaktorer</vt:lpstr>
      <vt:lpstr>Løsningsvalg modellbygg</vt:lpstr>
      <vt:lpstr>Definisjon av BTA, BRA og BYA</vt:lpstr>
      <vt:lpstr>'Modellbygg og utslippsfaktorer'!_ftn1</vt:lpstr>
      <vt:lpstr>'Modellbygg og utslippsfaktorer'!_ftnref1</vt:lpstr>
      <vt:lpstr>'Løsningsvalg modellbygg'!_Toc36478555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Lyslo Skullestad</dc:creator>
  <cp:keywords/>
  <dc:description/>
  <cp:lastModifiedBy>Ellen Kristoffersen Ramsnes</cp:lastModifiedBy>
  <cp:revision/>
  <dcterms:created xsi:type="dcterms:W3CDTF">2020-10-02T08:25:46Z</dcterms:created>
  <dcterms:modified xsi:type="dcterms:W3CDTF">2021-09-07T07:01:30Z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ies>
</file>